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65" yWindow="75" windowWidth="14715" windowHeight="8190" tabRatio="349" activeTab="4"/>
  </bookViews>
  <sheets>
    <sheet name="Cover" sheetId="1" r:id="rId1"/>
    <sheet name="Income" sheetId="2" r:id="rId2"/>
    <sheet name="BS" sheetId="3" r:id="rId3"/>
    <sheet name="Equity" sheetId="4" r:id="rId4"/>
    <sheet name="CFS" sheetId="5" r:id="rId5"/>
  </sheets>
  <definedNames>
    <definedName name="_xlnm.Print_Area" localSheetId="2">'BS'!$A$1:$F$50</definedName>
    <definedName name="_xlnm.Print_Area" localSheetId="4">'CFS'!$A$1:$I$59</definedName>
    <definedName name="_xlnm.Print_Area" localSheetId="0">'Cover'!$A$1:$J$61</definedName>
    <definedName name="_xlnm.Print_Area" localSheetId="3">'Equity'!$A$1:$O$47</definedName>
    <definedName name="_xlnm.Print_Area" localSheetId="1">'Income'!$A$1:$I$53</definedName>
    <definedName name="Z_1A451599_C637_4197_8250_2E85BAB00E4E_.wvu.Cols" localSheetId="2" hidden="1">'BS'!$G:$H</definedName>
    <definedName name="Z_1A451599_C637_4197_8250_2E85BAB00E4E_.wvu.Cols" localSheetId="4" hidden="1">'CFS'!$G:$H,'CFS'!$J:$K</definedName>
    <definedName name="Z_1A451599_C637_4197_8250_2E85BAB00E4E_.wvu.Cols" localSheetId="3" hidden="1">'Equity'!$Q:$R</definedName>
    <definedName name="Z_1A451599_C637_4197_8250_2E85BAB00E4E_.wvu.Cols" localSheetId="1" hidden="1">'Income'!$K:$P</definedName>
    <definedName name="Z_1A451599_C637_4197_8250_2E85BAB00E4E_.wvu.PrintArea" localSheetId="2" hidden="1">'BS'!$A$1:$F$50</definedName>
    <definedName name="Z_1A451599_C637_4197_8250_2E85BAB00E4E_.wvu.PrintArea" localSheetId="4" hidden="1">'CFS'!$A$1:$I$59</definedName>
    <definedName name="Z_1A451599_C637_4197_8250_2E85BAB00E4E_.wvu.PrintArea" localSheetId="0" hidden="1">'Cover'!$A$1:$J$61</definedName>
    <definedName name="Z_1A451599_C637_4197_8250_2E85BAB00E4E_.wvu.PrintArea" localSheetId="3" hidden="1">'Equity'!$A$1:$O$47</definedName>
    <definedName name="Z_1A451599_C637_4197_8250_2E85BAB00E4E_.wvu.PrintArea" localSheetId="1" hidden="1">'Income'!$A$1:$I$53</definedName>
    <definedName name="Z_1A451599_C637_4197_8250_2E85BAB00E4E_.wvu.Rows" localSheetId="4" hidden="1">'CFS'!$13:$13,'CFS'!$61:$67</definedName>
    <definedName name="Z_1A451599_C637_4197_8250_2E85BAB00E4E_.wvu.Rows" localSheetId="1" hidden="1">'Income'!$38:$41,'Income'!$43:$44,'Income'!$48:$49</definedName>
    <definedName name="Z_8C17B2D3_79AE_45CF_924E_E425820DA879_.wvu.Cols" localSheetId="2" hidden="1">'BS'!$G:$H</definedName>
    <definedName name="Z_8C17B2D3_79AE_45CF_924E_E425820DA879_.wvu.Cols" localSheetId="4" hidden="1">'CFS'!$G:$H,'CFS'!$J:$K</definedName>
    <definedName name="Z_8C17B2D3_79AE_45CF_924E_E425820DA879_.wvu.Cols" localSheetId="3" hidden="1">'Equity'!$Q:$R</definedName>
    <definedName name="Z_8C17B2D3_79AE_45CF_924E_E425820DA879_.wvu.Cols" localSheetId="1" hidden="1">'Income'!$K:$P</definedName>
    <definedName name="Z_8C17B2D3_79AE_45CF_924E_E425820DA879_.wvu.PrintArea" localSheetId="2" hidden="1">'BS'!$A$1:$F$50</definedName>
    <definedName name="Z_8C17B2D3_79AE_45CF_924E_E425820DA879_.wvu.PrintArea" localSheetId="4" hidden="1">'CFS'!$A$1:$I$59</definedName>
    <definedName name="Z_8C17B2D3_79AE_45CF_924E_E425820DA879_.wvu.PrintArea" localSheetId="0" hidden="1">'Cover'!$A$1:$J$61</definedName>
    <definedName name="Z_8C17B2D3_79AE_45CF_924E_E425820DA879_.wvu.PrintArea" localSheetId="3" hidden="1">'Equity'!$A$1:$O$47</definedName>
    <definedName name="Z_8C17B2D3_79AE_45CF_924E_E425820DA879_.wvu.PrintArea" localSheetId="1" hidden="1">'Income'!$A$1:$I$53</definedName>
    <definedName name="Z_8C17B2D3_79AE_45CF_924E_E425820DA879_.wvu.Rows" localSheetId="4" hidden="1">'CFS'!$13:$13,'CFS'!$61:$67</definedName>
    <definedName name="Z_8C17B2D3_79AE_45CF_924E_E425820DA879_.wvu.Rows" localSheetId="1" hidden="1">'Income'!$38:$41,'Income'!$43:$44,'Income'!$48:$49</definedName>
    <definedName name="Z_9CE4B036_1681_4298_8967_C85F846295CC_.wvu.PrintArea" localSheetId="0" hidden="1">'Cover'!$A$1:$J$61</definedName>
    <definedName name="Z_B886672B_8F46_4075_8596_C2B836828A8F_.wvu.PrintArea" localSheetId="0" hidden="1">'Cover'!$A$1:$J$61</definedName>
  </definedNames>
  <calcPr fullCalcOnLoad="1"/>
</workbook>
</file>

<file path=xl/comments2.xml><?xml version="1.0" encoding="utf-8"?>
<comments xmlns="http://schemas.openxmlformats.org/spreadsheetml/2006/main">
  <authors>
    <author>chongkh</author>
    <author>User</author>
  </authors>
  <commentList>
    <comment ref="A36" authorId="0">
      <text>
        <r>
          <rPr>
            <b/>
            <sz val="8"/>
            <rFont val="Tahoma"/>
            <family val="0"/>
          </rPr>
          <t>chongkh:</t>
        </r>
        <r>
          <rPr>
            <sz val="8"/>
            <rFont val="Tahoma"/>
            <family val="0"/>
          </rPr>
          <t xml:space="preserve">
Some losses shared by MI and thus improve the Group PAT</t>
        </r>
      </text>
    </comment>
    <comment ref="E44" authorId="1">
      <text>
        <r>
          <rPr>
            <b/>
            <sz val="8"/>
            <rFont val="Tahoma"/>
            <family val="0"/>
          </rPr>
          <t xml:space="preserve">Ang:
Why it is not weighted average number of outstanding shares in issue? Non-compliance with MASB
</t>
        </r>
        <r>
          <rPr>
            <sz val="8"/>
            <rFont val="Tahoma"/>
            <family val="0"/>
          </rPr>
          <t xml:space="preserve">
</t>
        </r>
      </text>
    </comment>
    <comment ref="I44" authorId="1">
      <text>
        <r>
          <rPr>
            <b/>
            <sz val="8"/>
            <rFont val="Tahoma"/>
            <family val="0"/>
          </rPr>
          <t xml:space="preserve">Ang:
Why it is not weighted average number of outstanding shares in issue? Non-compliance with MASB
</t>
        </r>
        <r>
          <rPr>
            <sz val="8"/>
            <rFont val="Tahoma"/>
            <family val="0"/>
          </rPr>
          <t xml:space="preserve">
</t>
        </r>
      </text>
    </comment>
    <comment ref="K44" authorId="1">
      <text>
        <r>
          <rPr>
            <sz val="8"/>
            <rFont val="Tahoma"/>
            <family val="0"/>
          </rPr>
          <t>Ang:
Why it is not weighted average number of outstanding shares in issue? Non-compliance with MASB</t>
        </r>
      </text>
    </comment>
  </commentList>
</comments>
</file>

<file path=xl/comments4.xml><?xml version="1.0" encoding="utf-8"?>
<comments xmlns="http://schemas.openxmlformats.org/spreadsheetml/2006/main">
  <authors>
    <author>khchong</author>
    <author>User</author>
    <author>ChongKH</author>
    <author>Chong</author>
  </authors>
  <commentList>
    <comment ref="O16" authorId="0">
      <text>
        <r>
          <rPr>
            <b/>
            <sz val="8"/>
            <rFont val="Tahoma"/>
            <family val="0"/>
          </rPr>
          <t>khchong:</t>
        </r>
        <r>
          <rPr>
            <sz val="8"/>
            <rFont val="Tahoma"/>
            <family val="0"/>
          </rPr>
          <t xml:space="preserve">
</t>
        </r>
        <r>
          <rPr>
            <sz val="8"/>
            <rFont val="Tahoma"/>
            <family val="0"/>
          </rPr>
          <t>RM48,965,229</t>
        </r>
        <r>
          <rPr>
            <sz val="8"/>
            <rFont val="Tahoma"/>
            <family val="0"/>
          </rPr>
          <t xml:space="preserve">
AS PER AUDITED REPORT.</t>
        </r>
      </text>
    </comment>
    <comment ref="H24" authorId="1">
      <text>
        <r>
          <rPr>
            <sz val="8"/>
            <rFont val="Tahoma"/>
            <family val="0"/>
          </rPr>
          <t xml:space="preserve">
Ang:
First &amp; final dividend at 10sen per share less 27% tax , paid on 27 July 2007</t>
        </r>
      </text>
    </comment>
    <comment ref="A30" authorId="2">
      <text>
        <r>
          <rPr>
            <b/>
            <sz val="8"/>
            <rFont val="Tahoma"/>
            <family val="0"/>
          </rPr>
          <t>ChongKH:</t>
        </r>
        <r>
          <rPr>
            <sz val="8"/>
            <rFont val="Tahoma"/>
            <family val="0"/>
          </rPr>
          <t xml:space="preserve">
FRS 134 Interim Financial Statement
Periods for which Interim Financial Statements are Required to be Presented 
  23.
      Interim reports should include interim financial statements (condensed or complete) for periods as follows:
         1.
            balance sheet as of the end of the current interim period and a comparative balance sheet as of the end of the immediately preceding financial year;
         2.
            income statements for the current interim period and cumulatively for the current financial year to date, with comparative income statements for the comparable interim periods (current and year-to-date) of the immediately preceding financial year;
         3.
            statement showing changes in equity cumulatively for the current financial year to date, with a comparative statement for the comparable year-to-date period of the immediately preceding financial year; and
         4.
            cash flow statement cumulatively for the current financial year to date, with a comparative statement for the comparable year-to-date period of the immediately preceding financial year</t>
        </r>
      </text>
    </comment>
    <comment ref="M18" authorId="3">
      <text>
        <r>
          <rPr>
            <b/>
            <sz val="8"/>
            <rFont val="Tahoma"/>
            <family val="0"/>
          </rPr>
          <t>Chong:</t>
        </r>
        <r>
          <rPr>
            <sz val="8"/>
            <rFont val="Tahoma"/>
            <family val="0"/>
          </rPr>
          <t xml:space="preserve">
07Q3: Loss shared by MI, improved Group's retained profits.
</t>
        </r>
      </text>
    </comment>
  </commentList>
</comments>
</file>

<file path=xl/sharedStrings.xml><?xml version="1.0" encoding="utf-8"?>
<sst xmlns="http://schemas.openxmlformats.org/spreadsheetml/2006/main" count="271" uniqueCount="179">
  <si>
    <t>TMC LIFE SCIENCES BHD</t>
  </si>
  <si>
    <t>Company no. 624409-A</t>
  </si>
  <si>
    <t>(Incorporated in Malaysia)</t>
  </si>
  <si>
    <t>INTERIM FINANCIAL REPORT</t>
  </si>
  <si>
    <t>FOR THE QUARTER AND PERIOD ENDED 30 SEPTEMBER 2007</t>
  </si>
  <si>
    <t>Contact</t>
  </si>
  <si>
    <t>No. 55 Jalan SS21/56B</t>
  </si>
  <si>
    <t>Damansara Utama, Petaling Jaya</t>
  </si>
  <si>
    <t>47400 Selangor D.E.</t>
  </si>
  <si>
    <t>Tel: +603 7729 3199</t>
  </si>
  <si>
    <t>MALAYSIA</t>
  </si>
  <si>
    <t>fax: +603 7727 8066</t>
  </si>
  <si>
    <t>www.tmclife.com</t>
  </si>
  <si>
    <t xml:space="preserve">INTERIM FINANCIAL REPORT FOR THE </t>
  </si>
  <si>
    <t>Printed</t>
  </si>
  <si>
    <t xml:space="preserve"> </t>
  </si>
  <si>
    <t>THIRD QUARTER ENDED 30 SEPTEMBER 2007</t>
  </si>
  <si>
    <t>Date</t>
  </si>
  <si>
    <t>Time</t>
  </si>
  <si>
    <t xml:space="preserve">CONDENSED CONSOLIDATED INCOME STATEMENT (UNAUDITED) </t>
  </si>
  <si>
    <t>FOR MANAGEMENT ONLY</t>
  </si>
  <si>
    <t>INDIVIDUAL QUARTER</t>
  </si>
  <si>
    <t>CUMULATIVE QUARTER</t>
  </si>
  <si>
    <t>CURRENT</t>
  </si>
  <si>
    <t>PRECEDING YEAR</t>
  </si>
  <si>
    <t>PRECEDING</t>
  </si>
  <si>
    <t>Current</t>
  </si>
  <si>
    <t>Cumulative</t>
  </si>
  <si>
    <t xml:space="preserve">CURRENT </t>
  </si>
  <si>
    <t>YEAR</t>
  </si>
  <si>
    <t>CORRESPONDING</t>
  </si>
  <si>
    <t>QUARTER</t>
  </si>
  <si>
    <t>Quarter</t>
  </si>
  <si>
    <t>VS</t>
  </si>
  <si>
    <t>TO-DATE</t>
  </si>
  <si>
    <t>PERIOD</t>
  </si>
  <si>
    <t>YoY</t>
  </si>
  <si>
    <t>06 vs 07</t>
  </si>
  <si>
    <t>Note</t>
  </si>
  <si>
    <t>RM</t>
  </si>
  <si>
    <t>Revenue</t>
  </si>
  <si>
    <t>Operating expenses</t>
  </si>
  <si>
    <t>Profit from operations</t>
  </si>
  <si>
    <t>Amortisation &amp; Depreciation</t>
  </si>
  <si>
    <t>Finance costs</t>
  </si>
  <si>
    <t>n/a</t>
  </si>
  <si>
    <t>Interest income</t>
  </si>
  <si>
    <t xml:space="preserve">Profit before taxation &amp; Minority </t>
  </si>
  <si>
    <t>Interest</t>
  </si>
  <si>
    <t>Taxation</t>
  </si>
  <si>
    <t>B5</t>
  </si>
  <si>
    <t>Profit after taxation</t>
  </si>
  <si>
    <t>Minority interest</t>
  </si>
  <si>
    <t>Profit after taxation and minority interest</t>
  </si>
  <si>
    <t>Pre-acquisition profit</t>
  </si>
  <si>
    <t>Net profit attributable to members of the company</t>
  </si>
  <si>
    <t>Weigthed Average No of ordinary shares in issue</t>
  </si>
  <si>
    <t>Earnings per share (sen)</t>
  </si>
  <si>
    <t>- Basic</t>
  </si>
  <si>
    <t>B14</t>
  </si>
  <si>
    <t>- Diluted</t>
  </si>
  <si>
    <t>(The unaudited condensed consolidated income statements should be read in conjunction with the audited financial statements for the year ended 31 December 2006 and the accompanying notes attached to the interim financial report)</t>
  </si>
  <si>
    <t>MANAGEMENT INFO</t>
  </si>
  <si>
    <t>GROSS PROFIT %</t>
  </si>
  <si>
    <t>OPERATION PROFIT %</t>
  </si>
  <si>
    <t>NET MARGIN %</t>
  </si>
  <si>
    <t>Taxation / Profit before taxation</t>
  </si>
  <si>
    <t>HISTORICAL ANNOUNCEMENT</t>
  </si>
  <si>
    <t>REVENUE</t>
  </si>
  <si>
    <t>PBT</t>
  </si>
  <si>
    <t>PAT</t>
  </si>
  <si>
    <t>FY06Q1</t>
  </si>
  <si>
    <t>FY06Q2</t>
  </si>
  <si>
    <t>FY06Q3</t>
  </si>
  <si>
    <t>FY06Q4</t>
  </si>
  <si>
    <t>FY07Q1</t>
  </si>
  <si>
    <t>FY07Q2</t>
  </si>
  <si>
    <t>FY07Q3</t>
  </si>
  <si>
    <t>FY07Q4</t>
  </si>
  <si>
    <t>CURRENT QUARTER ANALYSIS</t>
  </si>
  <si>
    <t>QoQ</t>
  </si>
  <si>
    <t>CUMULATIVE QUARTERS ANALYSIS</t>
  </si>
  <si>
    <t>CONDENSED CONSOLIDATED CASH FLOW STATEMENT (UNAUDITED)</t>
  </si>
  <si>
    <t>CURRENT YEAR</t>
  </si>
  <si>
    <t>PRECEEDING YEAR</t>
  </si>
  <si>
    <t>PERIOD ENDED</t>
  </si>
  <si>
    <t>QUARTER ENDED</t>
  </si>
  <si>
    <t>30 JUNE 2005</t>
  </si>
  <si>
    <t>(AUDITED)</t>
  </si>
  <si>
    <t>(UNAUDITED)</t>
  </si>
  <si>
    <t>COLUMN</t>
  </si>
  <si>
    <t>Cash flows from operating activities</t>
  </si>
  <si>
    <t>TO HIDE</t>
  </si>
  <si>
    <t>Profit before taxation</t>
  </si>
  <si>
    <t>Adjustments for</t>
  </si>
  <si>
    <t>Non-cash items</t>
  </si>
  <si>
    <t>Operating profit before changes in working capital</t>
  </si>
  <si>
    <t>Changes in working capital:</t>
  </si>
  <si>
    <t>Net change in current assets</t>
  </si>
  <si>
    <t>Net change in current liabilities</t>
  </si>
  <si>
    <t>Interest received</t>
  </si>
  <si>
    <t>Income tax paid</t>
  </si>
  <si>
    <t>Cash flows from investing activities</t>
  </si>
  <si>
    <t>Acquisition of property, plant and equipment</t>
  </si>
  <si>
    <t>Project development costs</t>
  </si>
  <si>
    <t>Net cash used in investing activities</t>
  </si>
  <si>
    <t>Cash flows from financing activities</t>
  </si>
  <si>
    <t>Dividends paid</t>
  </si>
  <si>
    <t>Term loan drawdown</t>
  </si>
  <si>
    <t xml:space="preserve">Subscription shares from Minority Interest </t>
  </si>
  <si>
    <t>Cash and cash equivalents at beginning of financial period</t>
  </si>
  <si>
    <t>Cash and cash equivalents at end of financial period</t>
  </si>
  <si>
    <t>NOTES TO CASH FLOW STATEMENT</t>
  </si>
  <si>
    <t>Cash and cash equivalents comprise:</t>
  </si>
  <si>
    <t>Cash and bank balances</t>
  </si>
  <si>
    <t>(The unaudited condensed consolidated cash flow statements should be read in conjunction with the audited financial statements for the year ended 31 December 2006 and the accompanying notes attached to the interim financial report)</t>
  </si>
  <si>
    <t>ADDITIONAL INFORMATION FOR Q4</t>
  </si>
  <si>
    <t>C&amp;CE</t>
  </si>
  <si>
    <t>As per Q4 05 Announcement</t>
  </si>
  <si>
    <t>As per FYE05 Audited Account</t>
  </si>
  <si>
    <t>Discrepancies</t>
  </si>
  <si>
    <t>CONDENSED CONSOLIDATED STATEMENT OF CHANGES IN EQUITY (UNAUDITED)</t>
  </si>
  <si>
    <t>Distributable Retained Profits</t>
  </si>
  <si>
    <t>Share Capital</t>
  </si>
  <si>
    <t>Share Premium</t>
  </si>
  <si>
    <t>Total</t>
  </si>
  <si>
    <t>At 1 January 2007</t>
  </si>
  <si>
    <t>Net profit for the period</t>
  </si>
  <si>
    <t>At 30 September 2007</t>
  </si>
  <si>
    <t>At 1 January 2006 (Restated)</t>
  </si>
  <si>
    <t>At 30 September 2006</t>
  </si>
  <si>
    <t>(The unaudited condensed consolidated statements of changes in equity should be read in conjunction with the audited financial statements for the year ended 31 December 2006 and the accompanying notes attached to the interim financial report)</t>
  </si>
  <si>
    <t>CONDENSED CONSOLIDATED BALANCE SHEET</t>
  </si>
  <si>
    <t>AS AT</t>
  </si>
  <si>
    <t>31 December 2006</t>
  </si>
  <si>
    <t>ASSETS</t>
  </si>
  <si>
    <t>Non-Current Assets</t>
  </si>
  <si>
    <t>Property, plant and equipment</t>
  </si>
  <si>
    <t xml:space="preserve">  </t>
  </si>
  <si>
    <t>Prepaid land lease payments</t>
  </si>
  <si>
    <t>Intangible assets</t>
  </si>
  <si>
    <t>Current Assets</t>
  </si>
  <si>
    <t>Inventories</t>
  </si>
  <si>
    <t>Trade and other receivables</t>
  </si>
  <si>
    <t>Cash and cash equivalents</t>
  </si>
  <si>
    <t>TOTAL ASSETS</t>
  </si>
  <si>
    <t>EQUITY AND LIABILITIES</t>
  </si>
  <si>
    <t>Equity attributable to equity holders of the Company</t>
  </si>
  <si>
    <t>Share capital</t>
  </si>
  <si>
    <t>Share premium</t>
  </si>
  <si>
    <t>Retained profits</t>
  </si>
  <si>
    <t>Total Equity</t>
  </si>
  <si>
    <t>Deferred taxation</t>
  </si>
  <si>
    <t>Current liabilities</t>
  </si>
  <si>
    <t>Trade and other payables</t>
  </si>
  <si>
    <t>Tax payable</t>
  </si>
  <si>
    <t>Total liabilities</t>
  </si>
  <si>
    <t>TOTAL EQUITY AND LIABILITIES</t>
  </si>
  <si>
    <t>&lt;&lt; To HIDE</t>
  </si>
  <si>
    <t>(The unaudited condensed consolidated balance sheet should be read in conjunction with the audited financial statements for the year ended 31 December 2006 and the accompanying notes attached to the interim financial report)</t>
  </si>
  <si>
    <t>Cash generated from operations</t>
  </si>
  <si>
    <t>Net cash generated / (used in) from financing activities</t>
  </si>
  <si>
    <t>Net increase / (decrease) in cash and cash equivalents</t>
  </si>
  <si>
    <t>Borrowings (secured)</t>
  </si>
  <si>
    <t>B10</t>
  </si>
  <si>
    <t>Minority Interest</t>
  </si>
  <si>
    <t xml:space="preserve">Total Capital &amp; Reserves Attributable to equity holders </t>
  </si>
  <si>
    <t>of the Company</t>
  </si>
  <si>
    <t>Equity</t>
  </si>
  <si>
    <t>Net cash generated from operating activities</t>
  </si>
  <si>
    <t>Minority</t>
  </si>
  <si>
    <t>Listing expenses</t>
  </si>
  <si>
    <t>&lt;&lt;             Attributable to Equity Holders of the Company             &gt;&gt;</t>
  </si>
  <si>
    <t>Interests</t>
  </si>
  <si>
    <t>Changes</t>
  </si>
  <si>
    <t>Analysis</t>
  </si>
  <si>
    <t>%</t>
  </si>
  <si>
    <t>Non-current liabilities</t>
  </si>
  <si>
    <t>Issue of ordinary shares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</si>
</sst>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0\)"/>
    <numFmt numFmtId="179" formatCode="\$#,##0_);[Red]\(\$#,##0\)"/>
    <numFmt numFmtId="180" formatCode="\$#,##0.00_);\(\$#,##0.00\)"/>
    <numFmt numFmtId="181" formatCode="\$#,##0.00_);[Red]\(\$#,##0.00\)"/>
    <numFmt numFmtId="182" formatCode="_(* #,##0_);_(* \(#,##0\);_(* &quot;-&quot;??_);_(@_)"/>
    <numFmt numFmtId="183" formatCode="0.0%"/>
    <numFmt numFmtId="184" formatCode="dd/mmm/yy\ dd:mm"/>
    <numFmt numFmtId="185" formatCode="_(* #,##0.0_);_(* \(#,##0.0\);_(* &quot;-&quot;??_);_(@_)"/>
    <numFmt numFmtId="186" formatCode="dd\ mmmm\ yy"/>
    <numFmt numFmtId="187" formatCode="dd\ mmmm\ yyyy"/>
    <numFmt numFmtId="188" formatCode="[$-409]dddd\,\ mmmm\ dd\,\ yyyy"/>
    <numFmt numFmtId="189" formatCode="#,##0.0"/>
    <numFmt numFmtId="190" formatCode="\ h:mm"/>
    <numFmt numFmtId="191" formatCode="_(* #,##0.000_);_(* \(#,##0.000\);_(* &quot;-&quot;??_);_(@_)"/>
    <numFmt numFmtId="192" formatCode="0.000%"/>
    <numFmt numFmtId="193" formatCode="0.0000%"/>
    <numFmt numFmtId="194" formatCode="0.00000%"/>
    <numFmt numFmtId="195" formatCode="0.00000000000000%"/>
  </numFmts>
  <fonts count="22">
    <font>
      <sz val="10"/>
      <name val="Arial"/>
      <family val="2"/>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i/>
      <sz val="10"/>
      <name val="Arial"/>
      <family val="2"/>
    </font>
    <font>
      <b/>
      <sz val="10"/>
      <name val="Arial"/>
      <family val="2"/>
    </font>
    <font>
      <b/>
      <sz val="10"/>
      <color indexed="43"/>
      <name val="Arial"/>
      <family val="2"/>
    </font>
    <font>
      <b/>
      <u val="single"/>
      <sz val="10"/>
      <name val="Arial"/>
      <family val="2"/>
    </font>
    <font>
      <b/>
      <sz val="10"/>
      <color indexed="10"/>
      <name val="Arial"/>
      <family val="2"/>
    </font>
    <font>
      <b/>
      <sz val="8"/>
      <name val="Arial"/>
      <family val="2"/>
    </font>
    <font>
      <sz val="10"/>
      <color indexed="12"/>
      <name val="Arial"/>
      <family val="2"/>
    </font>
    <font>
      <b/>
      <sz val="8"/>
      <name val="Tahoma"/>
      <family val="0"/>
    </font>
    <font>
      <sz val="8"/>
      <name val="Tahoma"/>
      <family val="0"/>
    </font>
    <font>
      <sz val="10"/>
      <color indexed="10"/>
      <name val="Arial"/>
      <family val="2"/>
    </font>
    <font>
      <b/>
      <sz val="9"/>
      <name val="Arial"/>
      <family val="2"/>
    </font>
    <font>
      <sz val="10"/>
      <color indexed="53"/>
      <name val="Arial"/>
      <family val="2"/>
    </font>
    <font>
      <sz val="11"/>
      <color indexed="10"/>
      <name val="Arial"/>
      <family val="2"/>
    </font>
    <font>
      <sz val="9"/>
      <name val="Arial"/>
      <family val="2"/>
    </font>
    <font>
      <b/>
      <sz val="12"/>
      <color indexed="10"/>
      <name val="Arial"/>
      <family val="2"/>
    </font>
    <font>
      <b/>
      <sz val="10"/>
      <color indexed="12"/>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0" fillId="0" borderId="0" xfId="0" applyFill="1" applyAlignment="1">
      <alignment horizontal="left" indent="15"/>
    </xf>
    <xf numFmtId="0" fontId="4" fillId="0" borderId="0" xfId="0" applyFont="1" applyFill="1" applyAlignment="1">
      <alignment horizontal="left"/>
    </xf>
    <xf numFmtId="0" fontId="0" fillId="0" borderId="0" xfId="0" applyFill="1" applyAlignment="1">
      <alignment/>
    </xf>
    <xf numFmtId="0" fontId="2" fillId="0" borderId="0" xfId="20" applyFill="1" applyAlignment="1">
      <alignment/>
    </xf>
    <xf numFmtId="0" fontId="0" fillId="0" borderId="0" xfId="0" applyAlignment="1">
      <alignment horizontal="center"/>
    </xf>
    <xf numFmtId="0" fontId="5" fillId="0" borderId="1" xfId="0" applyFont="1" applyBorder="1" applyAlignment="1">
      <alignment/>
    </xf>
    <xf numFmtId="0" fontId="6" fillId="0" borderId="0" xfId="0" applyFont="1" applyAlignment="1">
      <alignment horizontal="center"/>
    </xf>
    <xf numFmtId="0" fontId="3" fillId="0" borderId="0" xfId="0" applyFont="1" applyAlignment="1">
      <alignment horizontal="center"/>
    </xf>
    <xf numFmtId="15" fontId="3" fillId="0" borderId="0" xfId="0" applyNumberFormat="1" applyFont="1" applyAlignment="1">
      <alignment/>
    </xf>
    <xf numFmtId="190" fontId="3" fillId="0" borderId="0" xfId="0" applyNumberFormat="1" applyFont="1" applyAlignment="1">
      <alignment/>
    </xf>
    <xf numFmtId="0" fontId="4"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xf>
    <xf numFmtId="15" fontId="7" fillId="0" borderId="0" xfId="0" applyNumberFormat="1" applyFont="1" applyFill="1" applyAlignment="1" quotePrefix="1">
      <alignment horizontal="center"/>
    </xf>
    <xf numFmtId="15" fontId="7" fillId="0" borderId="0" xfId="0" applyNumberFormat="1" applyFont="1" applyAlignment="1" quotePrefix="1">
      <alignment horizontal="center"/>
    </xf>
    <xf numFmtId="171" fontId="7" fillId="0" borderId="0" xfId="15" applyFont="1" applyAlignment="1">
      <alignment horizontal="center"/>
    </xf>
    <xf numFmtId="0" fontId="0" fillId="0" borderId="0" xfId="0" applyAlignment="1">
      <alignment horizontal="right"/>
    </xf>
    <xf numFmtId="0" fontId="7" fillId="0" borderId="0" xfId="0" applyFont="1" applyFill="1" applyAlignment="1">
      <alignment horizontal="center"/>
    </xf>
    <xf numFmtId="0" fontId="10" fillId="0" borderId="0" xfId="0" applyFont="1" applyAlignment="1">
      <alignment horizontal="center"/>
    </xf>
    <xf numFmtId="182" fontId="0" fillId="0" borderId="0" xfId="0" applyNumberFormat="1" applyAlignment="1">
      <alignment/>
    </xf>
    <xf numFmtId="182" fontId="0" fillId="0" borderId="0" xfId="0" applyNumberFormat="1" applyFill="1" applyAlignment="1">
      <alignment/>
    </xf>
    <xf numFmtId="182" fontId="7" fillId="0" borderId="0" xfId="15" applyNumberFormat="1" applyFont="1" applyFill="1" applyAlignment="1" applyProtection="1">
      <alignment/>
      <protection locked="0"/>
    </xf>
    <xf numFmtId="182" fontId="7" fillId="0" borderId="0" xfId="15" applyNumberFormat="1" applyFont="1" applyFill="1" applyAlignment="1">
      <alignment/>
    </xf>
    <xf numFmtId="182" fontId="0" fillId="0" borderId="0" xfId="15" applyNumberFormat="1" applyFont="1" applyFill="1" applyAlignment="1">
      <alignment horizontal="right" indent="1"/>
    </xf>
    <xf numFmtId="0" fontId="7" fillId="0" borderId="0" xfId="0" applyFont="1" applyFill="1" applyAlignment="1">
      <alignment/>
    </xf>
    <xf numFmtId="183" fontId="7" fillId="0" borderId="0" xfId="0" applyNumberFormat="1" applyFont="1" applyAlignment="1">
      <alignment horizontal="center"/>
    </xf>
    <xf numFmtId="182" fontId="0" fillId="0" borderId="0" xfId="0" applyNumberFormat="1" applyFont="1" applyAlignment="1">
      <alignment/>
    </xf>
    <xf numFmtId="182" fontId="0" fillId="0" borderId="0" xfId="15" applyNumberFormat="1" applyFill="1" applyAlignment="1" applyProtection="1">
      <alignment/>
      <protection locked="0"/>
    </xf>
    <xf numFmtId="182" fontId="0" fillId="0" borderId="0" xfId="15" applyNumberFormat="1" applyFill="1" applyAlignment="1">
      <alignment/>
    </xf>
    <xf numFmtId="182" fontId="0" fillId="0" borderId="2" xfId="15" applyNumberFormat="1" applyFill="1" applyBorder="1" applyAlignment="1" applyProtection="1">
      <alignment/>
      <protection locked="0"/>
    </xf>
    <xf numFmtId="182" fontId="0" fillId="0" borderId="2" xfId="15" applyNumberFormat="1" applyFill="1" applyBorder="1" applyAlignment="1">
      <alignment/>
    </xf>
    <xf numFmtId="0" fontId="7" fillId="0" borderId="0" xfId="0" applyFont="1" applyAlignment="1">
      <alignment vertical="top" wrapText="1"/>
    </xf>
    <xf numFmtId="9" fontId="0" fillId="0" borderId="0" xfId="15" applyNumberFormat="1" applyFill="1" applyAlignment="1" applyProtection="1">
      <alignment/>
      <protection locked="0"/>
    </xf>
    <xf numFmtId="0" fontId="0" fillId="0" borderId="0" xfId="0" applyAlignment="1">
      <alignment horizontal="left" vertical="top" wrapText="1" indent="1"/>
    </xf>
    <xf numFmtId="0" fontId="0" fillId="0" borderId="0" xfId="0" applyAlignment="1">
      <alignment horizontal="left" indent="1"/>
    </xf>
    <xf numFmtId="182" fontId="7" fillId="0" borderId="3" xfId="15" applyNumberFormat="1" applyFont="1" applyFill="1" applyBorder="1" applyAlignment="1">
      <alignment/>
    </xf>
    <xf numFmtId="10" fontId="0" fillId="0" borderId="2" xfId="21" applyNumberFormat="1" applyFill="1" applyBorder="1" applyAlignment="1" applyProtection="1">
      <alignment/>
      <protection locked="0"/>
    </xf>
    <xf numFmtId="10" fontId="0" fillId="0" borderId="0" xfId="21" applyNumberFormat="1" applyFill="1" applyAlignment="1">
      <alignment/>
    </xf>
    <xf numFmtId="10" fontId="0" fillId="0" borderId="2" xfId="21" applyNumberFormat="1" applyFill="1" applyBorder="1" applyAlignment="1">
      <alignment/>
    </xf>
    <xf numFmtId="183" fontId="0" fillId="0" borderId="0" xfId="15" applyNumberFormat="1" applyFill="1" applyAlignment="1" applyProtection="1">
      <alignment/>
      <protection locked="0"/>
    </xf>
    <xf numFmtId="182" fontId="7" fillId="0" borderId="4" xfId="15" applyNumberFormat="1" applyFont="1" applyFill="1" applyBorder="1" applyAlignment="1">
      <alignment/>
    </xf>
    <xf numFmtId="182" fontId="7" fillId="0" borderId="0" xfId="0" applyNumberFormat="1" applyFont="1" applyAlignment="1">
      <alignment/>
    </xf>
    <xf numFmtId="182" fontId="7" fillId="0" borderId="4" xfId="15" applyNumberFormat="1" applyFont="1" applyFill="1" applyBorder="1" applyAlignment="1" applyProtection="1">
      <alignment/>
      <protection locked="0"/>
    </xf>
    <xf numFmtId="182" fontId="0" fillId="0" borderId="0" xfId="0" applyNumberFormat="1" applyFill="1" applyAlignment="1" applyProtection="1">
      <alignment/>
      <protection locked="0"/>
    </xf>
    <xf numFmtId="0" fontId="0" fillId="0" borderId="0" xfId="0" applyFill="1" applyAlignment="1" applyProtection="1">
      <alignment/>
      <protection locked="0"/>
    </xf>
    <xf numFmtId="0" fontId="0" fillId="0" borderId="0" xfId="0" applyAlignment="1">
      <alignment wrapText="1"/>
    </xf>
    <xf numFmtId="3" fontId="0" fillId="0" borderId="0" xfId="0" applyNumberFormat="1" applyFill="1" applyAlignment="1" applyProtection="1">
      <alignment/>
      <protection locked="0"/>
    </xf>
    <xf numFmtId="3" fontId="0" fillId="0" borderId="0" xfId="0" applyNumberFormat="1" applyFill="1" applyAlignment="1">
      <alignment/>
    </xf>
    <xf numFmtId="0" fontId="0" fillId="0" borderId="0" xfId="0" applyAlignment="1" quotePrefix="1">
      <alignment/>
    </xf>
    <xf numFmtId="171" fontId="0" fillId="0" borderId="5" xfId="15" applyFill="1" applyBorder="1" applyAlignment="1" applyProtection="1">
      <alignment/>
      <protection locked="0"/>
    </xf>
    <xf numFmtId="171" fontId="0" fillId="0" borderId="5" xfId="15" applyFont="1" applyFill="1" applyBorder="1" applyAlignment="1">
      <alignment horizontal="right" indent="1"/>
    </xf>
    <xf numFmtId="171" fontId="0" fillId="0" borderId="5" xfId="15" applyFill="1" applyBorder="1" applyAlignment="1">
      <alignment horizontal="right" indent="1"/>
    </xf>
    <xf numFmtId="171" fontId="0" fillId="0" borderId="0" xfId="0" applyNumberFormat="1" applyAlignment="1">
      <alignment/>
    </xf>
    <xf numFmtId="171" fontId="0" fillId="0" borderId="0" xfId="15" applyFont="1" applyFill="1" applyAlignment="1">
      <alignment/>
    </xf>
    <xf numFmtId="171" fontId="0" fillId="0" borderId="0" xfId="15" applyAlignment="1">
      <alignment/>
    </xf>
    <xf numFmtId="171" fontId="0" fillId="0" borderId="5" xfId="15" applyBorder="1" applyAlignment="1">
      <alignment horizontal="center"/>
    </xf>
    <xf numFmtId="171" fontId="0" fillId="0" borderId="5" xfId="15" applyFill="1" applyBorder="1" applyAlignment="1">
      <alignment horizontal="center"/>
    </xf>
    <xf numFmtId="22" fontId="7" fillId="0" borderId="2" xfId="0" applyNumberFormat="1" applyFont="1" applyBorder="1" applyAlignment="1">
      <alignment/>
    </xf>
    <xf numFmtId="0" fontId="0" fillId="0" borderId="2" xfId="0" applyBorder="1" applyAlignment="1">
      <alignment/>
    </xf>
    <xf numFmtId="0" fontId="0" fillId="0" borderId="2" xfId="0" applyBorder="1" applyAlignment="1">
      <alignment/>
    </xf>
    <xf numFmtId="0" fontId="0" fillId="0" borderId="0" xfId="0" applyAlignment="1">
      <alignment/>
    </xf>
    <xf numFmtId="0" fontId="0" fillId="0" borderId="0" xfId="0" applyFont="1" applyAlignment="1">
      <alignment/>
    </xf>
    <xf numFmtId="10" fontId="0" fillId="0" borderId="0" xfId="21" applyNumberFormat="1" applyFill="1" applyAlignment="1">
      <alignment/>
    </xf>
    <xf numFmtId="0" fontId="0" fillId="0" borderId="0" xfId="0" applyFill="1" applyAlignment="1">
      <alignment/>
    </xf>
    <xf numFmtId="10" fontId="0" fillId="0" borderId="0" xfId="21" applyNumberFormat="1" applyFont="1" applyFill="1" applyAlignment="1">
      <alignment/>
    </xf>
    <xf numFmtId="0" fontId="0" fillId="0" borderId="0" xfId="0" applyFont="1" applyFill="1" applyAlignment="1">
      <alignment/>
    </xf>
    <xf numFmtId="10" fontId="12" fillId="0" borderId="0" xfId="21" applyNumberFormat="1" applyFont="1" applyAlignment="1">
      <alignment/>
    </xf>
    <xf numFmtId="10" fontId="0" fillId="0" borderId="0" xfId="21" applyNumberFormat="1" applyFill="1" applyAlignment="1">
      <alignment/>
    </xf>
    <xf numFmtId="10" fontId="12" fillId="0" borderId="0" xfId="21" applyNumberFormat="1" applyFont="1" applyAlignment="1">
      <alignment/>
    </xf>
    <xf numFmtId="10" fontId="0" fillId="0" borderId="0" xfId="0" applyNumberFormat="1" applyFill="1" applyAlignment="1">
      <alignment/>
    </xf>
    <xf numFmtId="10" fontId="0" fillId="0" borderId="0" xfId="0" applyNumberFormat="1" applyAlignment="1">
      <alignment/>
    </xf>
    <xf numFmtId="10" fontId="12" fillId="0" borderId="0" xfId="21" applyNumberFormat="1" applyFont="1" applyFill="1" applyAlignment="1">
      <alignment/>
    </xf>
    <xf numFmtId="171" fontId="0" fillId="0" borderId="0" xfId="0" applyNumberFormat="1" applyFill="1" applyAlignment="1">
      <alignment/>
    </xf>
    <xf numFmtId="0" fontId="9" fillId="0" borderId="0" xfId="0" applyFont="1" applyAlignment="1">
      <alignment/>
    </xf>
    <xf numFmtId="182" fontId="0" fillId="0" borderId="4" xfId="0" applyNumberFormat="1" applyFill="1" applyBorder="1" applyAlignment="1">
      <alignment/>
    </xf>
    <xf numFmtId="0" fontId="9" fillId="0" borderId="0" xfId="0" applyFont="1" applyAlignment="1">
      <alignment horizontal="right"/>
    </xf>
    <xf numFmtId="10" fontId="0" fillId="0" borderId="0" xfId="21" applyNumberFormat="1" applyAlignment="1">
      <alignment/>
    </xf>
    <xf numFmtId="4" fontId="0" fillId="0" borderId="0" xfId="0" applyNumberFormat="1" applyAlignment="1">
      <alignment/>
    </xf>
    <xf numFmtId="0" fontId="15" fillId="0" borderId="0" xfId="0" applyFont="1" applyAlignment="1">
      <alignment/>
    </xf>
    <xf numFmtId="0" fontId="4" fillId="0" borderId="1" xfId="0" applyFont="1" applyBorder="1" applyAlignment="1">
      <alignment/>
    </xf>
    <xf numFmtId="0" fontId="0" fillId="0" borderId="0" xfId="0" applyFont="1" applyAlignment="1">
      <alignment/>
    </xf>
    <xf numFmtId="187" fontId="16" fillId="0" borderId="0" xfId="0" applyNumberFormat="1" applyFont="1" applyAlignment="1" quotePrefix="1">
      <alignment horizontal="center"/>
    </xf>
    <xf numFmtId="0" fontId="7" fillId="0" borderId="0" xfId="0" applyFont="1" applyAlignment="1" quotePrefix="1">
      <alignment horizontal="center"/>
    </xf>
    <xf numFmtId="15" fontId="7" fillId="0" borderId="0" xfId="0" applyNumberFormat="1" applyFont="1" applyAlignment="1">
      <alignment horizontal="center"/>
    </xf>
    <xf numFmtId="182" fontId="10" fillId="0" borderId="0" xfId="15" applyNumberFormat="1" applyFont="1" applyFill="1" applyAlignment="1">
      <alignment horizontal="right"/>
    </xf>
    <xf numFmtId="0" fontId="10" fillId="0" borderId="0" xfId="0" applyFont="1" applyAlignment="1">
      <alignment/>
    </xf>
    <xf numFmtId="182" fontId="0" fillId="0" borderId="0" xfId="0" applyNumberFormat="1" applyFont="1" applyFill="1" applyAlignment="1">
      <alignment/>
    </xf>
    <xf numFmtId="0" fontId="0" fillId="0" borderId="0" xfId="0" applyFont="1" applyFill="1" applyAlignment="1">
      <alignment/>
    </xf>
    <xf numFmtId="182" fontId="0" fillId="0" borderId="0" xfId="15" applyNumberFormat="1" applyFont="1" applyFill="1" applyAlignment="1">
      <alignment/>
    </xf>
    <xf numFmtId="182" fontId="0" fillId="0" borderId="0" xfId="15" applyNumberFormat="1" applyFont="1" applyFill="1" applyBorder="1" applyAlignment="1">
      <alignment/>
    </xf>
    <xf numFmtId="182" fontId="17" fillId="0" borderId="0" xfId="15" applyNumberFormat="1" applyFont="1" applyFill="1" applyBorder="1" applyAlignment="1">
      <alignment/>
    </xf>
    <xf numFmtId="182" fontId="0" fillId="0" borderId="0" xfId="15" applyNumberFormat="1" applyFill="1" applyAlignment="1">
      <alignment/>
    </xf>
    <xf numFmtId="4" fontId="10" fillId="0" borderId="0" xfId="0" applyNumberFormat="1" applyFont="1" applyAlignment="1">
      <alignment/>
    </xf>
    <xf numFmtId="182" fontId="0" fillId="0" borderId="2" xfId="15" applyNumberFormat="1" applyFont="1" applyFill="1" applyBorder="1" applyAlignment="1">
      <alignment/>
    </xf>
    <xf numFmtId="182" fontId="7" fillId="0" borderId="2" xfId="15" applyNumberFormat="1" applyFont="1" applyFill="1" applyBorder="1" applyAlignment="1">
      <alignment/>
    </xf>
    <xf numFmtId="182" fontId="7" fillId="0" borderId="0" xfId="15" applyNumberFormat="1" applyFont="1" applyFill="1" applyBorder="1" applyAlignment="1">
      <alignment/>
    </xf>
    <xf numFmtId="182" fontId="0" fillId="0" borderId="6" xfId="15" applyNumberFormat="1" applyFont="1" applyFill="1" applyBorder="1" applyAlignment="1">
      <alignment/>
    </xf>
    <xf numFmtId="182" fontId="7" fillId="0" borderId="6" xfId="15" applyNumberFormat="1" applyFont="1" applyFill="1" applyBorder="1" applyAlignment="1">
      <alignment/>
    </xf>
    <xf numFmtId="0" fontId="7" fillId="0" borderId="0" xfId="0" applyFont="1" applyAlignment="1" quotePrefix="1">
      <alignment/>
    </xf>
    <xf numFmtId="0" fontId="0" fillId="0" borderId="0" xfId="0" applyFont="1" applyAlignment="1" quotePrefix="1">
      <alignment/>
    </xf>
    <xf numFmtId="0" fontId="0" fillId="0" borderId="0" xfId="0" applyFont="1" applyFill="1" applyAlignment="1" quotePrefix="1">
      <alignment/>
    </xf>
    <xf numFmtId="182" fontId="0" fillId="0" borderId="0" xfId="15" applyNumberFormat="1" applyFont="1" applyFill="1" applyBorder="1" applyAlignment="1" applyProtection="1">
      <alignment/>
      <protection/>
    </xf>
    <xf numFmtId="182" fontId="0" fillId="0" borderId="4" xfId="15" applyNumberFormat="1" applyFont="1" applyFill="1" applyBorder="1" applyAlignment="1">
      <alignment/>
    </xf>
    <xf numFmtId="182" fontId="0" fillId="0" borderId="0" xfId="0" applyNumberFormat="1" applyFont="1" applyFill="1" applyAlignment="1" quotePrefix="1">
      <alignment/>
    </xf>
    <xf numFmtId="182" fontId="0" fillId="0" borderId="0" xfId="0" applyNumberFormat="1" applyFont="1" applyFill="1" applyBorder="1" applyAlignment="1">
      <alignment/>
    </xf>
    <xf numFmtId="0" fontId="0" fillId="0" borderId="0" xfId="0" applyFont="1" applyFill="1" applyBorder="1" applyAlignment="1">
      <alignment/>
    </xf>
    <xf numFmtId="182" fontId="0" fillId="0" borderId="5" xfId="0" applyNumberFormat="1" applyFont="1" applyFill="1" applyBorder="1" applyAlignment="1" quotePrefix="1">
      <alignment/>
    </xf>
    <xf numFmtId="182" fontId="15" fillId="0" borderId="0" xfId="0" applyNumberFormat="1" applyFont="1" applyFill="1" applyAlignment="1" applyProtection="1">
      <alignment horizontal="center"/>
      <protection locked="0"/>
    </xf>
    <xf numFmtId="4" fontId="10" fillId="0" borderId="0" xfId="15" applyNumberFormat="1" applyFont="1" applyFill="1" applyAlignment="1">
      <alignment/>
    </xf>
    <xf numFmtId="0" fontId="0" fillId="0" borderId="0" xfId="0" applyFont="1" applyAlignment="1">
      <alignment vertical="top" wrapText="1"/>
    </xf>
    <xf numFmtId="0" fontId="0" fillId="0" borderId="0" xfId="0" applyFont="1" applyAlignment="1">
      <alignment wrapText="1"/>
    </xf>
    <xf numFmtId="0" fontId="9" fillId="0" borderId="0" xfId="0" applyFont="1" applyAlignment="1">
      <alignment vertical="top"/>
    </xf>
    <xf numFmtId="182" fontId="7" fillId="2" borderId="0" xfId="15" applyNumberFormat="1" applyFont="1" applyFill="1" applyAlignment="1">
      <alignment/>
    </xf>
    <xf numFmtId="0" fontId="0" fillId="2" borderId="0" xfId="0" applyFont="1" applyFill="1" applyAlignment="1">
      <alignment/>
    </xf>
    <xf numFmtId="0" fontId="9" fillId="2" borderId="0" xfId="0" applyFont="1" applyFill="1" applyAlignment="1">
      <alignment/>
    </xf>
    <xf numFmtId="0" fontId="0" fillId="2" borderId="0" xfId="0" applyFill="1" applyAlignment="1">
      <alignment/>
    </xf>
    <xf numFmtId="0" fontId="15" fillId="2" borderId="0" xfId="0" applyFont="1" applyFill="1" applyAlignment="1">
      <alignment/>
    </xf>
    <xf numFmtId="182" fontId="0" fillId="2" borderId="0" xfId="15" applyNumberFormat="1" applyFont="1" applyFill="1" applyAlignment="1">
      <alignment/>
    </xf>
    <xf numFmtId="182" fontId="0" fillId="2" borderId="0" xfId="0" applyNumberFormat="1" applyFont="1" applyFill="1" applyAlignment="1">
      <alignment/>
    </xf>
    <xf numFmtId="0" fontId="7" fillId="2" borderId="0" xfId="0" applyFont="1" applyFill="1" applyAlignment="1">
      <alignment/>
    </xf>
    <xf numFmtId="182" fontId="7" fillId="2" borderId="0" xfId="0" applyNumberFormat="1" applyFont="1" applyFill="1" applyAlignment="1">
      <alignment/>
    </xf>
    <xf numFmtId="182" fontId="0" fillId="0" borderId="0" xfId="15" applyNumberFormat="1" applyAlignment="1">
      <alignment/>
    </xf>
    <xf numFmtId="0" fontId="5" fillId="0" borderId="0" xfId="0" applyFont="1" applyAlignment="1">
      <alignment/>
    </xf>
    <xf numFmtId="15" fontId="7" fillId="0" borderId="0" xfId="0" applyNumberFormat="1" applyFont="1" applyAlignment="1">
      <alignment horizontal="center" wrapText="1"/>
    </xf>
    <xf numFmtId="182" fontId="10" fillId="2" borderId="0" xfId="15" applyNumberFormat="1" applyFont="1" applyFill="1" applyAlignment="1">
      <alignment horizontal="right"/>
    </xf>
    <xf numFmtId="182" fontId="0" fillId="2" borderId="0" xfId="15" applyNumberFormat="1" applyFill="1" applyAlignment="1">
      <alignment/>
    </xf>
    <xf numFmtId="182" fontId="0" fillId="0" borderId="4" xfId="15" applyNumberFormat="1" applyFill="1" applyBorder="1" applyAlignment="1">
      <alignment/>
    </xf>
    <xf numFmtId="182" fontId="0" fillId="0" borderId="0" xfId="15" applyNumberFormat="1" applyFill="1" applyBorder="1" applyAlignment="1">
      <alignment/>
    </xf>
    <xf numFmtId="171" fontId="7" fillId="0" borderId="0" xfId="15" applyFont="1" applyFill="1" applyAlignment="1">
      <alignment/>
    </xf>
    <xf numFmtId="171" fontId="7" fillId="0" borderId="0" xfId="0" applyNumberFormat="1" applyFont="1" applyAlignment="1">
      <alignment/>
    </xf>
    <xf numFmtId="182" fontId="18" fillId="2" borderId="0" xfId="15" applyNumberFormat="1" applyFont="1" applyFill="1" applyAlignment="1">
      <alignment/>
    </xf>
    <xf numFmtId="0" fontId="0" fillId="0" borderId="0" xfId="0" applyBorder="1" applyAlignment="1">
      <alignment/>
    </xf>
    <xf numFmtId="182" fontId="0" fillId="0" borderId="0" xfId="0" applyNumberFormat="1" applyBorder="1" applyAlignment="1">
      <alignment/>
    </xf>
    <xf numFmtId="171" fontId="15" fillId="0" borderId="0" xfId="15" applyFont="1" applyAlignment="1">
      <alignment/>
    </xf>
    <xf numFmtId="0" fontId="4" fillId="0" borderId="0" xfId="0" applyFont="1" applyBorder="1" applyAlignment="1">
      <alignment/>
    </xf>
    <xf numFmtId="0" fontId="5" fillId="0" borderId="0" xfId="0" applyFont="1" applyBorder="1" applyAlignment="1">
      <alignment/>
    </xf>
    <xf numFmtId="0" fontId="10" fillId="2" borderId="0" xfId="0" applyFont="1" applyFill="1" applyAlignment="1">
      <alignment horizontal="right"/>
    </xf>
    <xf numFmtId="187" fontId="7" fillId="0" borderId="0" xfId="0" applyNumberFormat="1" applyFont="1" applyAlignment="1" quotePrefix="1">
      <alignment horizontal="center"/>
    </xf>
    <xf numFmtId="182" fontId="0" fillId="0" borderId="0" xfId="15" applyNumberFormat="1" applyFont="1" applyAlignment="1">
      <alignment/>
    </xf>
    <xf numFmtId="171" fontId="10" fillId="0" borderId="0" xfId="15" applyFont="1" applyAlignment="1">
      <alignment/>
    </xf>
    <xf numFmtId="0" fontId="19" fillId="0" borderId="0" xfId="0" applyFont="1" applyAlignment="1">
      <alignment horizontal="center"/>
    </xf>
    <xf numFmtId="182" fontId="7" fillId="2" borderId="6" xfId="15" applyNumberFormat="1" applyFont="1" applyFill="1" applyBorder="1" applyAlignment="1">
      <alignment/>
    </xf>
    <xf numFmtId="182" fontId="0" fillId="0" borderId="7" xfId="15" applyNumberFormat="1" applyFont="1" applyFill="1" applyBorder="1" applyAlignment="1">
      <alignment/>
    </xf>
    <xf numFmtId="182" fontId="0" fillId="0" borderId="0" xfId="15" applyNumberFormat="1" applyFont="1" applyBorder="1" applyAlignment="1">
      <alignment/>
    </xf>
    <xf numFmtId="182" fontId="0" fillId="0" borderId="1" xfId="0" applyNumberFormat="1" applyFont="1" applyFill="1" applyBorder="1" applyAlignment="1">
      <alignment/>
    </xf>
    <xf numFmtId="182" fontId="0" fillId="2" borderId="0" xfId="0" applyNumberFormat="1" applyFill="1" applyAlignment="1">
      <alignment/>
    </xf>
    <xf numFmtId="182" fontId="0" fillId="0" borderId="0" xfId="0" applyNumberFormat="1" applyFont="1" applyBorder="1" applyAlignment="1">
      <alignment/>
    </xf>
    <xf numFmtId="182" fontId="10" fillId="2" borderId="0" xfId="0" applyNumberFormat="1" applyFont="1" applyFill="1" applyAlignment="1">
      <alignment/>
    </xf>
    <xf numFmtId="182" fontId="0" fillId="0" borderId="0" xfId="0" applyNumberFormat="1" applyAlignment="1" quotePrefix="1">
      <alignment/>
    </xf>
    <xf numFmtId="4" fontId="20" fillId="2" borderId="0" xfId="0" applyNumberFormat="1" applyFont="1" applyFill="1" applyAlignment="1">
      <alignment/>
    </xf>
    <xf numFmtId="10" fontId="0" fillId="0" borderId="0" xfId="21" applyNumberFormat="1" applyFont="1" applyFill="1" applyAlignment="1">
      <alignment/>
    </xf>
    <xf numFmtId="183" fontId="12" fillId="0" borderId="0" xfId="15" applyNumberFormat="1" applyFont="1" applyAlignment="1">
      <alignment/>
    </xf>
    <xf numFmtId="0" fontId="0" fillId="0" borderId="0" xfId="0" applyBorder="1" applyAlignment="1">
      <alignment/>
    </xf>
    <xf numFmtId="171" fontId="12" fillId="0" borderId="0" xfId="15" applyFont="1" applyAlignment="1">
      <alignment/>
    </xf>
    <xf numFmtId="182" fontId="12" fillId="0" borderId="0" xfId="15" applyNumberFormat="1" applyFont="1" applyAlignment="1">
      <alignment/>
    </xf>
    <xf numFmtId="0" fontId="7" fillId="0" borderId="8" xfId="0" applyFont="1" applyBorder="1" applyAlignment="1">
      <alignment/>
    </xf>
    <xf numFmtId="0" fontId="7" fillId="0" borderId="9" xfId="0" applyFont="1" applyBorder="1" applyAlignment="1">
      <alignment horizontal="center"/>
    </xf>
    <xf numFmtId="0" fontId="0" fillId="0" borderId="9" xfId="0" applyBorder="1" applyAlignment="1">
      <alignment/>
    </xf>
    <xf numFmtId="15" fontId="0" fillId="3" borderId="10" xfId="0" applyNumberFormat="1" applyFill="1" applyBorder="1" applyAlignment="1">
      <alignment horizontal="center"/>
    </xf>
    <xf numFmtId="15" fontId="7" fillId="3" borderId="10" xfId="0" applyNumberFormat="1" applyFont="1" applyFill="1" applyBorder="1" applyAlignment="1">
      <alignment horizontal="center"/>
    </xf>
    <xf numFmtId="182" fontId="0" fillId="4" borderId="0" xfId="15" applyNumberFormat="1" applyFont="1" applyFill="1" applyAlignment="1">
      <alignment horizontal="right" indent="1"/>
    </xf>
    <xf numFmtId="182" fontId="0" fillId="4" borderId="0" xfId="0" applyNumberFormat="1" applyFont="1" applyFill="1" applyAlignment="1">
      <alignment/>
    </xf>
    <xf numFmtId="183" fontId="7" fillId="4" borderId="0" xfId="0" applyNumberFormat="1" applyFont="1" applyFill="1" applyAlignment="1">
      <alignment/>
    </xf>
    <xf numFmtId="183" fontId="7" fillId="4" borderId="0" xfId="0" applyNumberFormat="1" applyFont="1" applyFill="1" applyAlignment="1">
      <alignment horizontal="center"/>
    </xf>
    <xf numFmtId="182" fontId="0" fillId="4" borderId="0" xfId="0" applyNumberFormat="1" applyFill="1" applyAlignment="1">
      <alignment/>
    </xf>
    <xf numFmtId="0" fontId="0" fillId="4" borderId="0" xfId="0" applyFill="1" applyAlignment="1">
      <alignment/>
    </xf>
    <xf numFmtId="183" fontId="0" fillId="4" borderId="0" xfId="0" applyNumberFormat="1" applyFill="1" applyAlignment="1">
      <alignment horizontal="center"/>
    </xf>
    <xf numFmtId="0" fontId="0" fillId="4" borderId="0" xfId="0" applyFill="1" applyAlignment="1">
      <alignment horizontal="center"/>
    </xf>
    <xf numFmtId="182" fontId="0" fillId="4" borderId="2" xfId="15" applyNumberFormat="1" applyFill="1" applyBorder="1" applyAlignment="1">
      <alignment/>
    </xf>
    <xf numFmtId="182" fontId="7" fillId="4" borderId="0" xfId="15" applyNumberFormat="1" applyFont="1" applyFill="1" applyAlignment="1">
      <alignment/>
    </xf>
    <xf numFmtId="182" fontId="7" fillId="4" borderId="3" xfId="0" applyNumberFormat="1" applyFont="1" applyFill="1" applyBorder="1" applyAlignment="1">
      <alignment/>
    </xf>
    <xf numFmtId="183" fontId="11" fillId="4" borderId="0" xfId="0" applyNumberFormat="1" applyFont="1" applyFill="1" applyAlignment="1">
      <alignment horizontal="center"/>
    </xf>
    <xf numFmtId="182" fontId="7" fillId="4" borderId="3" xfId="15" applyNumberFormat="1" applyFont="1" applyFill="1" applyBorder="1" applyAlignment="1">
      <alignment/>
    </xf>
    <xf numFmtId="0" fontId="0" fillId="4" borderId="2" xfId="0" applyFill="1" applyBorder="1" applyAlignment="1">
      <alignment/>
    </xf>
    <xf numFmtId="182" fontId="7" fillId="4" borderId="0" xfId="0" applyNumberFormat="1" applyFont="1" applyFill="1" applyAlignment="1">
      <alignment/>
    </xf>
    <xf numFmtId="10" fontId="7" fillId="4" borderId="0" xfId="0" applyNumberFormat="1" applyFont="1" applyFill="1" applyAlignment="1">
      <alignment horizontal="center"/>
    </xf>
    <xf numFmtId="182" fontId="0" fillId="4" borderId="0" xfId="15" applyNumberFormat="1" applyFill="1" applyAlignment="1">
      <alignment/>
    </xf>
    <xf numFmtId="182" fontId="7" fillId="4" borderId="4" xfId="15" applyNumberFormat="1" applyFont="1" applyFill="1" applyBorder="1" applyAlignment="1">
      <alignment/>
    </xf>
    <xf numFmtId="0" fontId="7" fillId="4" borderId="0" xfId="0" applyFont="1" applyFill="1" applyAlignment="1">
      <alignment/>
    </xf>
    <xf numFmtId="3" fontId="0" fillId="4" borderId="0" xfId="0" applyNumberFormat="1" applyFill="1" applyAlignment="1">
      <alignment/>
    </xf>
    <xf numFmtId="171" fontId="7" fillId="4" borderId="5" xfId="0" applyNumberFormat="1" applyFont="1" applyFill="1" applyBorder="1" applyAlignment="1">
      <alignment/>
    </xf>
    <xf numFmtId="171" fontId="7" fillId="4" borderId="0" xfId="0" applyNumberFormat="1" applyFont="1" applyFill="1" applyBorder="1" applyAlignment="1">
      <alignment/>
    </xf>
    <xf numFmtId="182" fontId="0" fillId="0" borderId="0" xfId="15" applyNumberFormat="1" applyFont="1" applyAlignment="1">
      <alignment horizontal="center"/>
    </xf>
    <xf numFmtId="182" fontId="0" fillId="0" borderId="0" xfId="15" applyNumberFormat="1" applyFont="1" applyAlignment="1" quotePrefix="1">
      <alignment horizontal="center"/>
    </xf>
    <xf numFmtId="182" fontId="0" fillId="0" borderId="6" xfId="15" applyNumberFormat="1" applyFont="1" applyBorder="1" applyAlignment="1">
      <alignment/>
    </xf>
    <xf numFmtId="182" fontId="0" fillId="0" borderId="7" xfId="15" applyNumberFormat="1" applyFont="1" applyBorder="1" applyAlignment="1">
      <alignment/>
    </xf>
    <xf numFmtId="182" fontId="0" fillId="0" borderId="2" xfId="15" applyNumberFormat="1" applyFont="1" applyBorder="1" applyAlignment="1">
      <alignment/>
    </xf>
    <xf numFmtId="182" fontId="0" fillId="0" borderId="0" xfId="15" applyNumberFormat="1" applyFont="1" applyBorder="1" applyAlignment="1">
      <alignment/>
    </xf>
    <xf numFmtId="182" fontId="0" fillId="0" borderId="2" xfId="15" applyNumberFormat="1" applyFont="1" applyBorder="1" applyAlignment="1">
      <alignment/>
    </xf>
    <xf numFmtId="182" fontId="0" fillId="0" borderId="6" xfId="15" applyNumberFormat="1" applyFont="1" applyBorder="1" applyAlignment="1">
      <alignment/>
    </xf>
    <xf numFmtId="182" fontId="0" fillId="0" borderId="0" xfId="15" applyNumberFormat="1" applyFont="1" applyAlignment="1">
      <alignment/>
    </xf>
    <xf numFmtId="182" fontId="0" fillId="0" borderId="1" xfId="0" applyNumberFormat="1" applyFont="1" applyBorder="1" applyAlignment="1">
      <alignment/>
    </xf>
    <xf numFmtId="182" fontId="7" fillId="0" borderId="0" xfId="15" applyNumberFormat="1" applyFont="1" applyAlignment="1">
      <alignment horizontal="center"/>
    </xf>
    <xf numFmtId="182" fontId="0" fillId="0" borderId="0" xfId="15" applyNumberFormat="1" applyFont="1" applyFill="1" applyAlignment="1">
      <alignment horizontal="right" indent="1"/>
    </xf>
    <xf numFmtId="182" fontId="0" fillId="0" borderId="0" xfId="15" applyNumberFormat="1" applyFont="1" applyFill="1" applyAlignment="1">
      <alignment/>
    </xf>
    <xf numFmtId="182" fontId="0" fillId="0" borderId="0" xfId="15" applyNumberFormat="1" applyFont="1" applyFill="1" applyBorder="1" applyAlignment="1">
      <alignment/>
    </xf>
    <xf numFmtId="182" fontId="0" fillId="0" borderId="2" xfId="15" applyNumberFormat="1" applyFont="1" applyFill="1" applyBorder="1" applyAlignment="1">
      <alignment horizontal="right" indent="1"/>
    </xf>
    <xf numFmtId="182" fontId="0" fillId="0" borderId="6" xfId="15" applyNumberFormat="1" applyFont="1" applyFill="1" applyBorder="1" applyAlignment="1">
      <alignment/>
    </xf>
    <xf numFmtId="182" fontId="0" fillId="0" borderId="4" xfId="15" applyNumberFormat="1" applyFont="1" applyFill="1" applyBorder="1" applyAlignment="1">
      <alignment/>
    </xf>
    <xf numFmtId="0" fontId="0" fillId="0" borderId="0" xfId="0" applyFont="1" applyFill="1" applyBorder="1" applyAlignment="1">
      <alignment/>
    </xf>
    <xf numFmtId="182" fontId="0" fillId="0" borderId="5" xfId="15" applyNumberFormat="1" applyFont="1" applyFill="1" applyBorder="1" applyAlignment="1">
      <alignment horizontal="right" indent="1"/>
    </xf>
    <xf numFmtId="0" fontId="4" fillId="0" borderId="0" xfId="0" applyFont="1" applyFill="1" applyAlignment="1">
      <alignment horizontal="left" indent="6"/>
    </xf>
    <xf numFmtId="0" fontId="5" fillId="0" borderId="0" xfId="0" applyFont="1" applyFill="1" applyAlignment="1">
      <alignment horizontal="left" indent="6"/>
    </xf>
    <xf numFmtId="0" fontId="0" fillId="0" borderId="0" xfId="0" applyAlignment="1">
      <alignment horizontal="justify" vertical="top" wrapText="1"/>
    </xf>
    <xf numFmtId="0" fontId="4" fillId="0" borderId="1" xfId="0" applyFont="1" applyBorder="1" applyAlignment="1">
      <alignment horizontal="center"/>
    </xf>
    <xf numFmtId="0" fontId="8" fillId="5" borderId="11" xfId="0" applyFont="1" applyFill="1" applyBorder="1" applyAlignment="1">
      <alignment horizontal="center"/>
    </xf>
    <xf numFmtId="0" fontId="8" fillId="5" borderId="6" xfId="0" applyFont="1" applyFill="1" applyBorder="1" applyAlignment="1">
      <alignment horizontal="center"/>
    </xf>
    <xf numFmtId="0" fontId="0" fillId="0" borderId="12" xfId="0" applyBorder="1" applyAlignment="1">
      <alignment/>
    </xf>
    <xf numFmtId="0" fontId="9" fillId="0" borderId="0" xfId="0" applyFont="1" applyAlignment="1">
      <alignment horizontal="center"/>
    </xf>
    <xf numFmtId="0" fontId="7" fillId="0" borderId="3"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4" fillId="0" borderId="0" xfId="0" applyFont="1" applyAlignment="1">
      <alignment horizontal="center"/>
    </xf>
    <xf numFmtId="0" fontId="5" fillId="0" borderId="0" xfId="0" applyFont="1" applyAlignment="1">
      <alignment/>
    </xf>
    <xf numFmtId="0" fontId="4" fillId="0" borderId="15" xfId="0" applyFont="1" applyBorder="1" applyAlignment="1">
      <alignment horizontal="center"/>
    </xf>
    <xf numFmtId="171" fontId="21" fillId="2" borderId="0" xfId="15" applyFont="1" applyFill="1" applyAlignment="1">
      <alignment horizontal="center"/>
    </xf>
    <xf numFmtId="0" fontId="0" fillId="0" borderId="0" xfId="0" applyFont="1" applyAlignment="1">
      <alignment vertical="top" wrapText="1"/>
    </xf>
    <xf numFmtId="0" fontId="0" fillId="0" borderId="0" xfId="0" applyAlignment="1">
      <alignment vertical="top"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tmclife.com/" TargetMode="External" /><Relationship Id="rId3" Type="http://schemas.openxmlformats.org/officeDocument/2006/relationships/hyperlink" Target="http://www.tmclif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28575</xdr:rowOff>
    </xdr:from>
    <xdr:to>
      <xdr:col>2</xdr:col>
      <xdr:colOff>314325</xdr:colOff>
      <xdr:row>11</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628650" y="514350"/>
          <a:ext cx="9048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mclif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5"/>
  </sheetPr>
  <dimension ref="A10:J60"/>
  <sheetViews>
    <sheetView showGridLines="0" zoomScaleSheetLayoutView="125" workbookViewId="0" topLeftCell="A1">
      <pane ySplit="12" topLeftCell="BM13" activePane="bottomLeft" state="frozen"/>
      <selection pane="topLeft" activeCell="A1" sqref="A1"/>
      <selection pane="bottomLeft" activeCell="A13" sqref="A13"/>
    </sheetView>
  </sheetViews>
  <sheetFormatPr defaultColWidth="9.140625" defaultRowHeight="12.75"/>
  <cols>
    <col min="1" max="16384" width="9.140625" style="3" customWidth="1"/>
  </cols>
  <sheetData>
    <row r="10" spans="2:10" ht="15.75">
      <c r="B10" s="1"/>
      <c r="C10" s="1"/>
      <c r="D10" s="2" t="s">
        <v>0</v>
      </c>
      <c r="E10" s="1"/>
      <c r="F10" s="1"/>
      <c r="G10" s="1"/>
      <c r="H10" s="1"/>
      <c r="I10" s="1"/>
      <c r="J10" s="1"/>
    </row>
    <row r="11" spans="2:10" ht="15.75">
      <c r="B11" s="1"/>
      <c r="C11" s="1"/>
      <c r="D11" s="2" t="s">
        <v>1</v>
      </c>
      <c r="E11" s="1"/>
      <c r="F11" s="1"/>
      <c r="G11" s="1"/>
      <c r="H11" s="1"/>
      <c r="I11" s="1"/>
      <c r="J11" s="1"/>
    </row>
    <row r="12" spans="2:10" ht="15.75">
      <c r="B12" s="1"/>
      <c r="C12" s="1"/>
      <c r="D12" s="2" t="s">
        <v>2</v>
      </c>
      <c r="E12" s="1"/>
      <c r="F12" s="1"/>
      <c r="G12" s="1"/>
      <c r="H12" s="1"/>
      <c r="I12" s="1"/>
      <c r="J12" s="1"/>
    </row>
    <row r="18" spans="1:10" ht="15.75">
      <c r="A18" s="204" t="s">
        <v>3</v>
      </c>
      <c r="B18" s="205"/>
      <c r="C18" s="205"/>
      <c r="D18" s="205"/>
      <c r="E18" s="205"/>
      <c r="F18" s="205"/>
      <c r="G18" s="205"/>
      <c r="H18" s="205"/>
      <c r="I18" s="205"/>
      <c r="J18" s="205"/>
    </row>
    <row r="19" spans="1:10" ht="15.75">
      <c r="A19" s="204" t="s">
        <v>4</v>
      </c>
      <c r="B19" s="205"/>
      <c r="C19" s="205"/>
      <c r="D19" s="205"/>
      <c r="E19" s="205"/>
      <c r="F19" s="205"/>
      <c r="G19" s="205"/>
      <c r="H19" s="205"/>
      <c r="I19" s="205"/>
      <c r="J19" s="205"/>
    </row>
    <row r="54" ht="12.75">
      <c r="B54" s="3" t="s">
        <v>5</v>
      </c>
    </row>
    <row r="55" ht="12.75">
      <c r="B55" s="3" t="s">
        <v>6</v>
      </c>
    </row>
    <row r="56" ht="12.75">
      <c r="B56" s="3" t="s">
        <v>7</v>
      </c>
    </row>
    <row r="57" spans="2:6" ht="12.75">
      <c r="B57" s="3" t="s">
        <v>8</v>
      </c>
      <c r="F57" s="3" t="s">
        <v>9</v>
      </c>
    </row>
    <row r="58" spans="2:6" ht="12.75">
      <c r="B58" s="3" t="s">
        <v>10</v>
      </c>
      <c r="F58" s="3" t="s">
        <v>11</v>
      </c>
    </row>
    <row r="60" ht="12.75">
      <c r="B60" s="4" t="s">
        <v>12</v>
      </c>
    </row>
  </sheetData>
  <sheetProtection/>
  <mergeCells count="2">
    <mergeCell ref="A19:J19"/>
    <mergeCell ref="A18:J18"/>
  </mergeCells>
  <hyperlinks>
    <hyperlink ref="B60" r:id="rId1" display="www.tmclife.com"/>
  </hyperlinks>
  <printOptions/>
  <pageMargins left="0.75" right="0.25" top="0.5" bottom="0.5" header="0.17" footer="0.2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T85"/>
  <sheetViews>
    <sheetView showGridLines="0" workbookViewId="0" topLeftCell="A16">
      <selection activeCell="A1" sqref="A1:I1"/>
    </sheetView>
  </sheetViews>
  <sheetFormatPr defaultColWidth="9.140625" defaultRowHeight="12.75" outlineLevelRow="1" outlineLevelCol="1"/>
  <cols>
    <col min="1" max="1" width="27.140625" style="0" customWidth="1"/>
    <col min="2" max="2" width="3.8515625" style="0" customWidth="1"/>
    <col min="3" max="3" width="13.28125" style="0" customWidth="1"/>
    <col min="4" max="4" width="2.7109375" style="0" customWidth="1"/>
    <col min="5" max="5" width="13.7109375" style="0" customWidth="1"/>
    <col min="6" max="6" width="2.7109375" style="0" customWidth="1"/>
    <col min="7" max="7" width="13.7109375" style="0" customWidth="1"/>
    <col min="8" max="8" width="2.7109375" style="0" customWidth="1"/>
    <col min="9" max="9" width="15.7109375" style="0" customWidth="1"/>
    <col min="10" max="10" width="1.7109375" style="0" customWidth="1"/>
    <col min="11" max="12" width="13.140625" style="0" hidden="1" customWidth="1" outlineLevel="1"/>
    <col min="13" max="13" width="6.57421875" style="0" hidden="1" customWidth="1" outlineLevel="1"/>
    <col min="14" max="14" width="7.57421875" style="5" hidden="1" customWidth="1" outlineLevel="1"/>
    <col min="15" max="15" width="10.8515625" style="5" hidden="1" customWidth="1" outlineLevel="1"/>
    <col min="16" max="16" width="10.00390625" style="0" hidden="1" customWidth="1" outlineLevel="1"/>
    <col min="17" max="17" width="3.57421875" style="0" hidden="1" customWidth="1" outlineLevel="1"/>
    <col min="18" max="20" width="4.140625" style="0" hidden="1" customWidth="1" outlineLevel="1"/>
    <col min="21" max="21" width="9.140625" style="0" customWidth="1" collapsed="1"/>
  </cols>
  <sheetData>
    <row r="1" spans="1:9" ht="15.75">
      <c r="A1" s="216" t="s">
        <v>0</v>
      </c>
      <c r="B1" s="217"/>
      <c r="C1" s="217"/>
      <c r="D1" s="217"/>
      <c r="E1" s="217"/>
      <c r="F1" s="217"/>
      <c r="G1" s="217"/>
      <c r="H1" s="217"/>
      <c r="I1" s="217"/>
    </row>
    <row r="2" spans="1:9" ht="15.75">
      <c r="A2" s="216" t="s">
        <v>1</v>
      </c>
      <c r="B2" s="217"/>
      <c r="C2" s="217"/>
      <c r="D2" s="217"/>
      <c r="E2" s="217"/>
      <c r="F2" s="217"/>
      <c r="G2" s="217"/>
      <c r="H2" s="217"/>
      <c r="I2" s="217"/>
    </row>
    <row r="3" spans="1:9" ht="15.75">
      <c r="A3" s="216" t="s">
        <v>2</v>
      </c>
      <c r="B3" s="217"/>
      <c r="C3" s="217"/>
      <c r="D3" s="217"/>
      <c r="E3" s="217"/>
      <c r="F3" s="217"/>
      <c r="G3" s="217"/>
      <c r="H3" s="217"/>
      <c r="I3" s="217"/>
    </row>
    <row r="4" spans="1:9" ht="7.5" customHeight="1" thickBot="1">
      <c r="A4" s="6"/>
      <c r="B4" s="6"/>
      <c r="C4" s="6"/>
      <c r="D4" s="6"/>
      <c r="E4" s="6"/>
      <c r="F4" s="6"/>
      <c r="G4" s="6"/>
      <c r="H4" s="6"/>
      <c r="I4" s="6"/>
    </row>
    <row r="5" spans="1:20" ht="15.75">
      <c r="A5" s="218" t="s">
        <v>13</v>
      </c>
      <c r="B5" s="218"/>
      <c r="C5" s="218"/>
      <c r="D5" s="218"/>
      <c r="E5" s="218"/>
      <c r="F5" s="218"/>
      <c r="G5" s="218"/>
      <c r="H5" s="218"/>
      <c r="I5" s="218"/>
      <c r="O5" s="7" t="s">
        <v>14</v>
      </c>
      <c r="R5" t="s">
        <v>15</v>
      </c>
      <c r="T5" t="s">
        <v>15</v>
      </c>
    </row>
    <row r="6" spans="1:20" ht="16.5" thickBot="1">
      <c r="A6" s="207" t="s">
        <v>16</v>
      </c>
      <c r="B6" s="207"/>
      <c r="C6" s="207"/>
      <c r="D6" s="207"/>
      <c r="E6" s="207"/>
      <c r="F6" s="207"/>
      <c r="G6" s="207"/>
      <c r="H6" s="207"/>
      <c r="I6" s="207"/>
      <c r="O6" s="8" t="s">
        <v>17</v>
      </c>
      <c r="P6" s="9">
        <f ca="1">TODAY()</f>
        <v>39406</v>
      </c>
      <c r="Q6" s="9"/>
      <c r="R6" t="s">
        <v>15</v>
      </c>
      <c r="T6" t="s">
        <v>15</v>
      </c>
    </row>
    <row r="7" spans="15:20" ht="9" customHeight="1">
      <c r="O7" s="8" t="s">
        <v>18</v>
      </c>
      <c r="P7" s="10">
        <f ca="1">NOW()</f>
        <v>39406.77753738426</v>
      </c>
      <c r="Q7" s="10"/>
      <c r="R7" t="s">
        <v>15</v>
      </c>
      <c r="T7" t="s">
        <v>15</v>
      </c>
    </row>
    <row r="8" spans="1:20" ht="15.75">
      <c r="A8" s="11" t="s">
        <v>19</v>
      </c>
      <c r="B8" s="12"/>
      <c r="K8" s="208" t="s">
        <v>20</v>
      </c>
      <c r="L8" s="209"/>
      <c r="M8" s="209"/>
      <c r="N8" s="209"/>
      <c r="O8" s="209"/>
      <c r="P8" s="210"/>
      <c r="Q8" s="155"/>
      <c r="T8" t="s">
        <v>15</v>
      </c>
    </row>
    <row r="9" ht="12.75">
      <c r="A9" s="12"/>
    </row>
    <row r="10" spans="3:9" ht="12.75">
      <c r="C10" s="211" t="s">
        <v>21</v>
      </c>
      <c r="D10" s="211"/>
      <c r="E10" s="211"/>
      <c r="F10" s="13"/>
      <c r="G10" s="211" t="s">
        <v>22</v>
      </c>
      <c r="H10" s="211"/>
      <c r="I10" s="211"/>
    </row>
    <row r="11" spans="3:16" ht="12.75">
      <c r="C11" s="13" t="s">
        <v>23</v>
      </c>
      <c r="D11" s="13"/>
      <c r="E11" s="13" t="s">
        <v>24</v>
      </c>
      <c r="F11" s="13"/>
      <c r="G11" s="13" t="str">
        <f>C11</f>
        <v>CURRENT</v>
      </c>
      <c r="H11" s="13"/>
      <c r="I11" s="14" t="str">
        <f>E11</f>
        <v>PRECEDING YEAR</v>
      </c>
      <c r="K11" s="158" t="s">
        <v>25</v>
      </c>
      <c r="L11" s="212" t="s">
        <v>28</v>
      </c>
      <c r="M11" s="213"/>
      <c r="N11" s="5" t="s">
        <v>26</v>
      </c>
      <c r="O11" s="5" t="s">
        <v>27</v>
      </c>
      <c r="P11" s="5" t="s">
        <v>27</v>
      </c>
    </row>
    <row r="12" spans="3:16" ht="12.75">
      <c r="C12" s="13" t="s">
        <v>29</v>
      </c>
      <c r="D12" s="13"/>
      <c r="E12" s="13" t="s">
        <v>30</v>
      </c>
      <c r="F12" s="13"/>
      <c r="G12" s="13" t="str">
        <f>C12</f>
        <v>YEAR</v>
      </c>
      <c r="H12" s="13"/>
      <c r="I12" s="14" t="str">
        <f>E12</f>
        <v>CORRESPONDING</v>
      </c>
      <c r="K12" s="159" t="s">
        <v>31</v>
      </c>
      <c r="L12" s="214" t="s">
        <v>33</v>
      </c>
      <c r="M12" s="215"/>
      <c r="N12" s="5" t="s">
        <v>32</v>
      </c>
      <c r="O12" s="5" t="s">
        <v>32</v>
      </c>
      <c r="P12" s="5" t="s">
        <v>32</v>
      </c>
    </row>
    <row r="13" spans="3:16" ht="12.75">
      <c r="C13" s="13" t="s">
        <v>31</v>
      </c>
      <c r="D13" s="13"/>
      <c r="E13" s="13" t="s">
        <v>31</v>
      </c>
      <c r="F13" s="13"/>
      <c r="G13" s="13" t="s">
        <v>34</v>
      </c>
      <c r="H13" s="13"/>
      <c r="I13" s="13" t="s">
        <v>35</v>
      </c>
      <c r="K13" s="160"/>
      <c r="L13" s="214" t="s">
        <v>25</v>
      </c>
      <c r="M13" s="215"/>
      <c r="O13"/>
      <c r="P13" s="5"/>
    </row>
    <row r="14" spans="3:16" ht="12.75">
      <c r="C14" s="16">
        <v>39355</v>
      </c>
      <c r="D14" s="17"/>
      <c r="E14" s="16">
        <v>38990</v>
      </c>
      <c r="F14" s="17"/>
      <c r="G14" s="16">
        <f>C14</f>
        <v>39355</v>
      </c>
      <c r="H14" s="17"/>
      <c r="I14" s="17">
        <f>E14</f>
        <v>38990</v>
      </c>
      <c r="K14" s="162">
        <v>39263</v>
      </c>
      <c r="L14" s="162" t="s">
        <v>39</v>
      </c>
      <c r="M14" s="161" t="s">
        <v>176</v>
      </c>
      <c r="N14" s="5" t="s">
        <v>36</v>
      </c>
      <c r="O14" s="18" t="s">
        <v>37</v>
      </c>
      <c r="P14" s="5" t="s">
        <v>36</v>
      </c>
    </row>
    <row r="15" spans="2:16" ht="12.75">
      <c r="B15" s="19" t="s">
        <v>38</v>
      </c>
      <c r="C15" s="13" t="s">
        <v>39</v>
      </c>
      <c r="D15" s="13"/>
      <c r="E15" s="13" t="s">
        <v>39</v>
      </c>
      <c r="F15" s="13"/>
      <c r="G15" s="20" t="str">
        <f>C15</f>
        <v>RM</v>
      </c>
      <c r="H15" s="13"/>
      <c r="I15" s="13" t="str">
        <f>E15</f>
        <v>RM</v>
      </c>
      <c r="K15" s="21"/>
      <c r="L15" s="21"/>
      <c r="M15" s="21"/>
      <c r="O15"/>
      <c r="P15" s="5"/>
    </row>
    <row r="16" spans="3:16" ht="12.75">
      <c r="C16" s="22" t="s">
        <v>15</v>
      </c>
      <c r="G16" s="23" t="s">
        <v>15</v>
      </c>
      <c r="O16"/>
      <c r="P16" s="5"/>
    </row>
    <row r="17" spans="1:16" s="12" customFormat="1" ht="12.75">
      <c r="A17" s="12" t="s">
        <v>40</v>
      </c>
      <c r="C17" s="24">
        <v>8028439</v>
      </c>
      <c r="D17" s="25"/>
      <c r="E17" s="26">
        <v>6302013</v>
      </c>
      <c r="F17" s="25"/>
      <c r="G17" s="24">
        <f>22886419-100000</f>
        <v>22786419</v>
      </c>
      <c r="H17" s="25"/>
      <c r="I17" s="26">
        <v>18470680</v>
      </c>
      <c r="J17" s="27"/>
      <c r="K17" s="163">
        <v>7793184</v>
      </c>
      <c r="L17" s="164">
        <f>C17-K17</f>
        <v>235255</v>
      </c>
      <c r="M17" s="165">
        <f>L17/K17</f>
        <v>0.030187276471337003</v>
      </c>
      <c r="N17" s="166">
        <f>(C17-E17)/E17</f>
        <v>0.2739483399986639</v>
      </c>
      <c r="O17" s="167">
        <f>G17-I17</f>
        <v>4315739</v>
      </c>
      <c r="P17" s="166">
        <f>(G17-I17)/I17</f>
        <v>0.23365349840937097</v>
      </c>
    </row>
    <row r="18" spans="3:16" ht="12.75">
      <c r="C18" s="30"/>
      <c r="D18" s="31"/>
      <c r="E18" s="31"/>
      <c r="F18" s="31"/>
      <c r="G18" s="30"/>
      <c r="H18" s="31"/>
      <c r="I18" s="31"/>
      <c r="J18" s="3"/>
      <c r="K18" s="163"/>
      <c r="L18" s="168"/>
      <c r="M18" s="168"/>
      <c r="N18" s="169"/>
      <c r="O18" s="168"/>
      <c r="P18" s="170"/>
    </row>
    <row r="19" spans="1:18" ht="12.75">
      <c r="A19" t="s">
        <v>41</v>
      </c>
      <c r="C19" s="30">
        <v>-4072554</v>
      </c>
      <c r="D19" s="31"/>
      <c r="E19" s="26">
        <v>-3552886</v>
      </c>
      <c r="F19" s="31"/>
      <c r="G19" s="30">
        <v>-11187668</v>
      </c>
      <c r="H19" s="31"/>
      <c r="I19" s="26">
        <v>-9540992</v>
      </c>
      <c r="J19" s="3"/>
      <c r="K19" s="163">
        <v>-3877279</v>
      </c>
      <c r="L19" s="164">
        <f>C19-K19</f>
        <v>-195275</v>
      </c>
      <c r="M19" s="165">
        <f>L19/K19</f>
        <v>0.050363927898920864</v>
      </c>
      <c r="N19" s="169"/>
      <c r="O19" s="167">
        <f>G19-I19</f>
        <v>-1646676</v>
      </c>
      <c r="P19" s="170"/>
      <c r="R19" s="22"/>
    </row>
    <row r="20" spans="3:16" ht="12.75">
      <c r="C20" s="32"/>
      <c r="D20" s="31"/>
      <c r="E20" s="33"/>
      <c r="F20" s="31"/>
      <c r="G20" s="32"/>
      <c r="H20" s="31"/>
      <c r="I20" s="33"/>
      <c r="J20" s="3"/>
      <c r="K20" s="171"/>
      <c r="L20" s="168"/>
      <c r="M20" s="168"/>
      <c r="N20" s="169"/>
      <c r="O20" s="171"/>
      <c r="P20" s="170"/>
    </row>
    <row r="21" spans="1:16" ht="12.75">
      <c r="A21" s="34" t="s">
        <v>42</v>
      </c>
      <c r="B21" t="s">
        <v>15</v>
      </c>
      <c r="C21" s="24">
        <f>ROUND(SUM(C17:C20),0)</f>
        <v>3955885</v>
      </c>
      <c r="D21" s="31"/>
      <c r="E21" s="25">
        <f>SUM(E17:E20)</f>
        <v>2749127</v>
      </c>
      <c r="F21" s="31"/>
      <c r="G21" s="24">
        <f>ROUND(SUM(G17:G20),0)</f>
        <v>11598751</v>
      </c>
      <c r="H21" s="31"/>
      <c r="I21" s="25">
        <f>SUM(I17:I20)</f>
        <v>8929688</v>
      </c>
      <c r="J21" s="3"/>
      <c r="K21" s="172">
        <v>3915905</v>
      </c>
      <c r="L21" s="173">
        <f>SUM(L17:L20)</f>
        <v>39980</v>
      </c>
      <c r="M21" s="165">
        <f>L21/K21</f>
        <v>0.010209645024585632</v>
      </c>
      <c r="N21" s="166">
        <f>(C21-E21)/E21</f>
        <v>0.4389604408963282</v>
      </c>
      <c r="O21" s="172">
        <f>SUM(O17:O20)</f>
        <v>2669063</v>
      </c>
      <c r="P21" s="166">
        <f>(G21-I21)/I21</f>
        <v>0.2988976770520986</v>
      </c>
    </row>
    <row r="22" spans="1:16" ht="12.75">
      <c r="A22" s="12"/>
      <c r="C22" s="35"/>
      <c r="D22" s="31"/>
      <c r="E22" s="31"/>
      <c r="F22" s="31"/>
      <c r="G22" s="35"/>
      <c r="H22" s="31"/>
      <c r="I22" s="31"/>
      <c r="J22" s="3"/>
      <c r="K22" s="163"/>
      <c r="L22" s="168"/>
      <c r="M22" s="168"/>
      <c r="N22" s="169"/>
      <c r="O22" s="168"/>
      <c r="P22" s="170"/>
    </row>
    <row r="23" spans="1:18" ht="25.5">
      <c r="A23" s="36" t="s">
        <v>43</v>
      </c>
      <c r="C23" s="30">
        <v>-459472</v>
      </c>
      <c r="D23" s="31"/>
      <c r="E23" s="26">
        <v>-86996</v>
      </c>
      <c r="F23" s="31"/>
      <c r="G23" s="30">
        <v>-1309311</v>
      </c>
      <c r="H23" s="31"/>
      <c r="I23" s="26">
        <v>-352170</v>
      </c>
      <c r="J23" s="3"/>
      <c r="K23" s="163">
        <v>-428700</v>
      </c>
      <c r="L23" s="164">
        <f>C23-K23</f>
        <v>-30772</v>
      </c>
      <c r="M23" s="165">
        <f>L23/K23</f>
        <v>0.07177979939351528</v>
      </c>
      <c r="N23" s="174">
        <f>(C23-E23)/E23</f>
        <v>4.281530185295876</v>
      </c>
      <c r="O23" s="167">
        <f>G23-I23</f>
        <v>-957141</v>
      </c>
      <c r="P23" s="166">
        <f>(G23-I23)/I23</f>
        <v>2.7178379759775106</v>
      </c>
      <c r="R23" s="22"/>
    </row>
    <row r="24" spans="1:16" ht="12.75">
      <c r="A24" s="37"/>
      <c r="C24" s="30"/>
      <c r="D24" s="31"/>
      <c r="E24" s="31"/>
      <c r="F24" s="31"/>
      <c r="G24" s="30"/>
      <c r="H24" s="31"/>
      <c r="I24" s="31"/>
      <c r="J24" s="3"/>
      <c r="K24" s="163"/>
      <c r="L24" s="168"/>
      <c r="M24" s="168"/>
      <c r="N24" s="166"/>
      <c r="O24" s="168"/>
      <c r="P24" s="170"/>
    </row>
    <row r="25" spans="1:16" ht="12.75">
      <c r="A25" s="37" t="s">
        <v>44</v>
      </c>
      <c r="C25" s="30">
        <v>-13486</v>
      </c>
      <c r="D25" s="31"/>
      <c r="E25" s="26">
        <v>0</v>
      </c>
      <c r="F25" s="31"/>
      <c r="G25" s="30">
        <v>-13486</v>
      </c>
      <c r="H25" s="31"/>
      <c r="I25" s="26">
        <f>E25</f>
        <v>0</v>
      </c>
      <c r="J25" s="3"/>
      <c r="K25" s="163">
        <v>0</v>
      </c>
      <c r="L25" s="164">
        <f>C25-K25</f>
        <v>-13486</v>
      </c>
      <c r="M25" s="165"/>
      <c r="N25" s="169" t="s">
        <v>45</v>
      </c>
      <c r="O25" s="167">
        <f>G25-I25</f>
        <v>-13486</v>
      </c>
      <c r="P25" s="170" t="s">
        <v>45</v>
      </c>
    </row>
    <row r="26" spans="1:16" ht="12.75">
      <c r="A26" s="37"/>
      <c r="C26" s="30"/>
      <c r="D26" s="31"/>
      <c r="E26" s="31"/>
      <c r="F26" s="31"/>
      <c r="G26" s="30"/>
      <c r="H26" s="31"/>
      <c r="I26" s="31"/>
      <c r="J26" s="3"/>
      <c r="K26" s="163"/>
      <c r="L26" s="168"/>
      <c r="M26" s="168"/>
      <c r="N26" s="169"/>
      <c r="O26" s="168"/>
      <c r="P26" s="170"/>
    </row>
    <row r="27" spans="1:18" ht="12.75">
      <c r="A27" s="37" t="s">
        <v>46</v>
      </c>
      <c r="C27" s="30">
        <v>41931</v>
      </c>
      <c r="D27" s="31"/>
      <c r="E27" s="26">
        <v>113558</v>
      </c>
      <c r="F27" s="31"/>
      <c r="G27" s="30">
        <v>174470</v>
      </c>
      <c r="H27" s="31"/>
      <c r="I27" s="26">
        <v>362416</v>
      </c>
      <c r="J27" s="3"/>
      <c r="K27" s="163">
        <v>60181</v>
      </c>
      <c r="L27" s="164">
        <f>C27-K27</f>
        <v>-18250</v>
      </c>
      <c r="M27" s="165">
        <f>L27/K27</f>
        <v>-0.3032518568983566</v>
      </c>
      <c r="N27" s="174">
        <f>(C27-E27)/E27</f>
        <v>-0.6307525669701827</v>
      </c>
      <c r="O27" s="167">
        <f>G27-I27</f>
        <v>-187946</v>
      </c>
      <c r="P27" s="174">
        <f>(G27-I27)/I27</f>
        <v>-0.5185918943975983</v>
      </c>
      <c r="R27" s="22"/>
    </row>
    <row r="28" spans="3:16" ht="12.75">
      <c r="C28" s="32"/>
      <c r="D28" s="31"/>
      <c r="E28" s="33"/>
      <c r="F28" s="31"/>
      <c r="G28" s="32"/>
      <c r="H28" s="31"/>
      <c r="I28" s="33"/>
      <c r="J28" s="3"/>
      <c r="K28" s="171"/>
      <c r="L28" s="168"/>
      <c r="M28" s="168"/>
      <c r="N28" s="169"/>
      <c r="O28" s="171"/>
      <c r="P28" s="170"/>
    </row>
    <row r="29" spans="1:16" s="12" customFormat="1" ht="12.75">
      <c r="A29" s="12" t="s">
        <v>47</v>
      </c>
      <c r="C29" s="24">
        <f>SUM(C21:C28)</f>
        <v>3524858</v>
      </c>
      <c r="D29" s="25"/>
      <c r="E29" s="25">
        <f>SUM(E21:E28)</f>
        <v>2775689</v>
      </c>
      <c r="F29" s="25"/>
      <c r="G29" s="24">
        <f>SUM(G21:G28)</f>
        <v>10450424</v>
      </c>
      <c r="H29" s="25"/>
      <c r="I29" s="25">
        <f>SUM(I21:I28)</f>
        <v>8939934</v>
      </c>
      <c r="J29" s="27"/>
      <c r="K29" s="172">
        <v>3547386</v>
      </c>
      <c r="L29" s="175">
        <f>SUM(L25:L28)</f>
        <v>-31736</v>
      </c>
      <c r="M29" s="165">
        <f>L29/K29</f>
        <v>-0.0089463058150424</v>
      </c>
      <c r="N29" s="166">
        <f>(C29-E29)/E29</f>
        <v>0.26990379685908616</v>
      </c>
      <c r="O29" s="172">
        <f>SUM(O21:O28)</f>
        <v>1510490</v>
      </c>
      <c r="P29" s="166">
        <f>(G29-I29)/I29</f>
        <v>0.16895986033006508</v>
      </c>
    </row>
    <row r="30" spans="1:16" ht="12.75">
      <c r="A30" s="15" t="s">
        <v>48</v>
      </c>
      <c r="C30" s="30"/>
      <c r="D30" s="31"/>
      <c r="E30" s="31"/>
      <c r="F30" s="31"/>
      <c r="G30" s="30"/>
      <c r="H30" s="31"/>
      <c r="I30" s="31"/>
      <c r="J30" s="3"/>
      <c r="K30" s="163"/>
      <c r="L30" s="168"/>
      <c r="M30" s="168"/>
      <c r="N30" s="170"/>
      <c r="O30" s="168"/>
      <c r="P30" s="170"/>
    </row>
    <row r="31" spans="1:16" ht="12.75">
      <c r="A31" s="15"/>
      <c r="C31" s="30"/>
      <c r="D31" s="31"/>
      <c r="E31" s="31"/>
      <c r="F31" s="31"/>
      <c r="G31" s="30"/>
      <c r="H31" s="31"/>
      <c r="I31" s="31"/>
      <c r="J31" s="3"/>
      <c r="K31" s="163"/>
      <c r="L31" s="168"/>
      <c r="M31" s="168"/>
      <c r="N31" s="170"/>
      <c r="O31" s="168"/>
      <c r="P31" s="170"/>
    </row>
    <row r="32" spans="1:18" ht="12.75">
      <c r="A32" s="37" t="s">
        <v>49</v>
      </c>
      <c r="B32" t="s">
        <v>50</v>
      </c>
      <c r="C32" s="30">
        <f>-942794+27000</f>
        <v>-915794</v>
      </c>
      <c r="D32" s="31"/>
      <c r="E32" s="26">
        <v>-769525</v>
      </c>
      <c r="F32" s="31"/>
      <c r="G32" s="30">
        <f>-2753694+27000+27000</f>
        <v>-2699694</v>
      </c>
      <c r="H32" s="31"/>
      <c r="I32" s="26">
        <v>-2333789</v>
      </c>
      <c r="J32" s="3"/>
      <c r="K32" s="163">
        <v>-941330</v>
      </c>
      <c r="L32" s="164">
        <f>C32-K32</f>
        <v>25536</v>
      </c>
      <c r="M32" s="165">
        <f>L32/K32</f>
        <v>-0.02712757481435841</v>
      </c>
      <c r="N32" s="170"/>
      <c r="O32" s="167">
        <f>G32-I32</f>
        <v>-365905</v>
      </c>
      <c r="P32" s="170"/>
      <c r="R32" s="22"/>
    </row>
    <row r="33" spans="3:16" ht="12.75">
      <c r="C33" s="39"/>
      <c r="D33" s="40"/>
      <c r="E33" s="41"/>
      <c r="F33" s="31"/>
      <c r="G33" s="39"/>
      <c r="H33" s="40"/>
      <c r="I33" s="41"/>
      <c r="J33" s="3"/>
      <c r="K33" s="171"/>
      <c r="L33" s="176"/>
      <c r="M33" s="168"/>
      <c r="N33" s="170"/>
      <c r="O33" s="171"/>
      <c r="P33" s="170"/>
    </row>
    <row r="34" spans="1:16" s="12" customFormat="1" ht="12.75">
      <c r="A34" s="12" t="s">
        <v>51</v>
      </c>
      <c r="C34" s="24">
        <f>SUM(C29:C33)</f>
        <v>2609064</v>
      </c>
      <c r="D34" s="25"/>
      <c r="E34" s="25">
        <f>SUM(E29:E33)</f>
        <v>2006164</v>
      </c>
      <c r="F34" s="25"/>
      <c r="G34" s="24">
        <f>ROUND(SUM(G29:G33),0)</f>
        <v>7750730</v>
      </c>
      <c r="H34" s="25"/>
      <c r="I34" s="25">
        <f>SUM(I29:I33)</f>
        <v>6606145</v>
      </c>
      <c r="J34" s="27"/>
      <c r="K34" s="172">
        <v>2606056</v>
      </c>
      <c r="L34" s="177">
        <f>C34-K34</f>
        <v>3008</v>
      </c>
      <c r="M34" s="168"/>
      <c r="N34" s="178">
        <f>(C34-E34)/E34</f>
        <v>0.3005237856924957</v>
      </c>
      <c r="O34" s="172">
        <f>SUM(O29:O33)</f>
        <v>1144585</v>
      </c>
      <c r="P34" s="166">
        <f>(G34-I34)/I34</f>
        <v>0.17326065352788955</v>
      </c>
    </row>
    <row r="35" spans="3:16" ht="12.75">
      <c r="C35" s="30"/>
      <c r="D35" s="31"/>
      <c r="E35" s="31"/>
      <c r="F35" s="31"/>
      <c r="G35" s="42"/>
      <c r="H35" s="31"/>
      <c r="I35" s="31"/>
      <c r="J35" s="3"/>
      <c r="K35" s="163"/>
      <c r="L35" s="168"/>
      <c r="M35" s="168"/>
      <c r="N35" s="170"/>
      <c r="O35" s="168"/>
      <c r="P35" s="170"/>
    </row>
    <row r="36" spans="1:16" ht="12.75">
      <c r="A36" s="37" t="s">
        <v>52</v>
      </c>
      <c r="C36" s="30">
        <v>32103.231995000006</v>
      </c>
      <c r="D36" s="31"/>
      <c r="E36" s="26">
        <v>0</v>
      </c>
      <c r="F36" s="31"/>
      <c r="G36" s="30">
        <f>C36</f>
        <v>32103.231995000006</v>
      </c>
      <c r="H36" s="31"/>
      <c r="I36" s="26">
        <v>0</v>
      </c>
      <c r="J36" s="3"/>
      <c r="K36" s="163">
        <v>0</v>
      </c>
      <c r="L36" s="164">
        <f>C36-K36</f>
        <v>32103.231995000006</v>
      </c>
      <c r="M36" s="168"/>
      <c r="N36" s="170"/>
      <c r="O36" s="168"/>
      <c r="P36" s="170"/>
    </row>
    <row r="37" spans="3:16" ht="12.75">
      <c r="C37" s="32"/>
      <c r="D37" s="31"/>
      <c r="E37" s="33"/>
      <c r="F37" s="31"/>
      <c r="G37" s="32"/>
      <c r="H37" s="31"/>
      <c r="I37" s="33"/>
      <c r="J37" s="3"/>
      <c r="K37" s="171"/>
      <c r="L37" s="171"/>
      <c r="M37" s="168"/>
      <c r="N37" s="170"/>
      <c r="O37" s="168"/>
      <c r="P37" s="170"/>
    </row>
    <row r="38" spans="1:16" ht="25.5" hidden="1" outlineLevel="1">
      <c r="A38" s="34" t="s">
        <v>53</v>
      </c>
      <c r="C38" s="24">
        <f>SUM(C34:C37)</f>
        <v>2641167.231995</v>
      </c>
      <c r="D38" s="31"/>
      <c r="E38" s="31">
        <f>SUM(E34:E37)</f>
        <v>2006164</v>
      </c>
      <c r="F38" s="31"/>
      <c r="G38" s="30">
        <f>SUM(G34:G37)</f>
        <v>7782833.231995</v>
      </c>
      <c r="H38" s="31"/>
      <c r="I38" s="31">
        <f>SUM(I34:I37)</f>
        <v>6606145</v>
      </c>
      <c r="J38" s="3"/>
      <c r="K38" s="179">
        <v>2606056</v>
      </c>
      <c r="L38" s="164">
        <f>C38-K38</f>
        <v>35111.23199500004</v>
      </c>
      <c r="M38" s="168"/>
      <c r="N38" s="178">
        <f>(C38-E38)/E38</f>
        <v>0.31652608261089327</v>
      </c>
      <c r="O38" s="168"/>
      <c r="P38" s="166">
        <f>(G38-I38)/I38</f>
        <v>0.1781202550042422</v>
      </c>
    </row>
    <row r="39" spans="3:16" ht="12.75" hidden="1" outlineLevel="1">
      <c r="C39" s="30"/>
      <c r="D39" s="31"/>
      <c r="E39" s="31"/>
      <c r="F39" s="31"/>
      <c r="G39" s="30"/>
      <c r="H39" s="31"/>
      <c r="I39" s="31"/>
      <c r="J39" s="3"/>
      <c r="K39" s="163"/>
      <c r="L39" s="168"/>
      <c r="M39" s="168"/>
      <c r="N39" s="170"/>
      <c r="O39" s="168"/>
      <c r="P39" s="170"/>
    </row>
    <row r="40" spans="1:16" ht="12.75" hidden="1" outlineLevel="1">
      <c r="A40" s="37" t="s">
        <v>54</v>
      </c>
      <c r="C40" s="30">
        <v>0</v>
      </c>
      <c r="D40" s="31"/>
      <c r="E40" s="26">
        <v>0</v>
      </c>
      <c r="F40" s="31"/>
      <c r="G40" s="30">
        <v>0</v>
      </c>
      <c r="H40" s="31"/>
      <c r="I40" s="26">
        <v>0</v>
      </c>
      <c r="J40" s="3"/>
      <c r="K40" s="163">
        <v>0</v>
      </c>
      <c r="L40" s="164">
        <f>C40-K40</f>
        <v>0</v>
      </c>
      <c r="M40" s="177"/>
      <c r="N40" s="170"/>
      <c r="O40" s="168"/>
      <c r="P40" s="170"/>
    </row>
    <row r="41" spans="3:16" ht="12.75" hidden="1" outlineLevel="1">
      <c r="C41" s="30"/>
      <c r="D41" s="31"/>
      <c r="E41" s="31"/>
      <c r="F41" s="31"/>
      <c r="G41" s="30"/>
      <c r="H41" s="31"/>
      <c r="I41" s="31"/>
      <c r="J41" s="3"/>
      <c r="K41" s="179"/>
      <c r="L41" s="168"/>
      <c r="M41" s="168"/>
      <c r="N41" s="170"/>
      <c r="O41" s="168"/>
      <c r="P41" s="170"/>
    </row>
    <row r="42" spans="1:16" s="12" customFormat="1" ht="39" collapsed="1" thickBot="1">
      <c r="A42" s="34" t="s">
        <v>55</v>
      </c>
      <c r="C42" s="45">
        <f>ROUND(SUM(C38:C41),0)</f>
        <v>2641167</v>
      </c>
      <c r="D42" s="25"/>
      <c r="E42" s="43">
        <f>SUM(E38:E41)</f>
        <v>2006164</v>
      </c>
      <c r="F42" s="25"/>
      <c r="G42" s="45">
        <f>SUM(G38:G41)</f>
        <v>7782833.231995</v>
      </c>
      <c r="H42" s="25"/>
      <c r="I42" s="43">
        <f>SUM(I38:I41)</f>
        <v>6606145</v>
      </c>
      <c r="J42" s="27"/>
      <c r="K42" s="180">
        <v>2606056</v>
      </c>
      <c r="L42" s="180">
        <f>SUM(L38:L41)</f>
        <v>35111.23199500004</v>
      </c>
      <c r="M42" s="168"/>
      <c r="N42" s="178">
        <f>(C42-E42)/E42</f>
        <v>0.31652596696979907</v>
      </c>
      <c r="O42" s="181"/>
      <c r="P42" s="166">
        <f>(G42-I42)/I42</f>
        <v>0.1781202550042422</v>
      </c>
    </row>
    <row r="43" spans="3:17" ht="13.5" hidden="1" outlineLevel="1" thickTop="1">
      <c r="C43" s="46" t="s">
        <v>15</v>
      </c>
      <c r="D43" s="3"/>
      <c r="E43" s="3"/>
      <c r="F43" s="3"/>
      <c r="G43" s="47"/>
      <c r="H43" s="3"/>
      <c r="I43" s="3"/>
      <c r="J43" s="3"/>
      <c r="K43" s="168"/>
      <c r="L43" s="168"/>
      <c r="M43" s="168"/>
      <c r="N43" s="170"/>
      <c r="O43" s="170"/>
      <c r="P43" s="168"/>
      <c r="Q43" s="5"/>
    </row>
    <row r="44" spans="1:17" ht="26.25" hidden="1" outlineLevel="1" thickTop="1">
      <c r="A44" s="48" t="s">
        <v>56</v>
      </c>
      <c r="C44" s="49">
        <v>169378208.79120877</v>
      </c>
      <c r="D44" s="3"/>
      <c r="E44" s="50">
        <v>168330000</v>
      </c>
      <c r="F44" s="3"/>
      <c r="G44" s="49">
        <v>169378208.79120877</v>
      </c>
      <c r="H44" s="3"/>
      <c r="I44" s="50">
        <v>168330000</v>
      </c>
      <c r="J44" s="3"/>
      <c r="K44" s="182">
        <v>168330000</v>
      </c>
      <c r="L44" s="182"/>
      <c r="M44" s="168"/>
      <c r="N44" s="170"/>
      <c r="O44" s="170"/>
      <c r="P44" s="168"/>
      <c r="Q44" s="5"/>
    </row>
    <row r="45" spans="1:17" ht="13.5" collapsed="1" thickTop="1">
      <c r="A45" t="s">
        <v>57</v>
      </c>
      <c r="C45" s="47"/>
      <c r="D45" s="3"/>
      <c r="E45" s="3"/>
      <c r="F45" s="3"/>
      <c r="G45" s="47"/>
      <c r="H45" s="3"/>
      <c r="I45" s="3"/>
      <c r="J45" s="3"/>
      <c r="K45" s="168"/>
      <c r="L45" s="168"/>
      <c r="M45" s="168"/>
      <c r="N45" s="170"/>
      <c r="O45" s="170"/>
      <c r="P45" s="168"/>
      <c r="Q45" s="28"/>
    </row>
    <row r="46" spans="1:17" ht="13.5" thickBot="1">
      <c r="A46" s="51" t="s">
        <v>58</v>
      </c>
      <c r="B46" t="s">
        <v>59</v>
      </c>
      <c r="C46" s="52">
        <f>C42/C44*100</f>
        <v>1.5593310490464252</v>
      </c>
      <c r="D46" s="3"/>
      <c r="E46" s="53">
        <f>E42/E44*100</f>
        <v>1.1918041941424584</v>
      </c>
      <c r="F46" s="3"/>
      <c r="G46" s="52">
        <f>G42/G44*100</f>
        <v>4.594943639762326</v>
      </c>
      <c r="H46" s="3"/>
      <c r="I46" s="54">
        <f>I42/I44*100</f>
        <v>3.924520287530446</v>
      </c>
      <c r="J46" s="3"/>
      <c r="K46" s="183">
        <f>K42/K44*100</f>
        <v>1.5481827362918077</v>
      </c>
      <c r="L46" s="184"/>
      <c r="M46" s="184"/>
      <c r="N46" s="170"/>
      <c r="O46" s="170"/>
      <c r="P46" s="168"/>
      <c r="Q46" s="5"/>
    </row>
    <row r="47" spans="3:17" ht="13.5" thickTop="1">
      <c r="C47" s="55" t="s">
        <v>15</v>
      </c>
      <c r="E47" s="56" t="s">
        <v>15</v>
      </c>
      <c r="G47" s="57"/>
      <c r="H47" s="57"/>
      <c r="I47" s="56" t="s">
        <v>15</v>
      </c>
      <c r="K47" s="55" t="s">
        <v>15</v>
      </c>
      <c r="L47" s="55"/>
      <c r="M47" s="55"/>
      <c r="Q47" s="5"/>
    </row>
    <row r="48" spans="1:17" ht="13.5" hidden="1" outlineLevel="1" thickBot="1">
      <c r="A48" s="51" t="s">
        <v>60</v>
      </c>
      <c r="B48" s="51"/>
      <c r="C48" s="58">
        <v>0</v>
      </c>
      <c r="E48" s="58">
        <v>0</v>
      </c>
      <c r="G48" s="58">
        <v>0</v>
      </c>
      <c r="H48" s="57"/>
      <c r="I48" s="59">
        <v>0</v>
      </c>
      <c r="Q48" s="5"/>
    </row>
    <row r="49" spans="9:17" ht="12.75" hidden="1" outlineLevel="1">
      <c r="I49" s="3"/>
      <c r="Q49" s="5"/>
    </row>
    <row r="50" spans="3:17" ht="12.75" collapsed="1">
      <c r="C50" s="55" t="s">
        <v>15</v>
      </c>
      <c r="E50" s="55"/>
      <c r="I50" s="3"/>
      <c r="K50" s="55" t="s">
        <v>15</v>
      </c>
      <c r="L50" s="55"/>
      <c r="M50" s="55"/>
      <c r="Q50" s="5"/>
    </row>
    <row r="51" spans="1:17" ht="22.5" customHeight="1">
      <c r="A51" s="206" t="s">
        <v>61</v>
      </c>
      <c r="B51" s="206"/>
      <c r="C51" s="206"/>
      <c r="D51" s="206"/>
      <c r="E51" s="206"/>
      <c r="F51" s="206"/>
      <c r="G51" s="206"/>
      <c r="H51" s="206"/>
      <c r="I51" s="206"/>
      <c r="Q51" s="5"/>
    </row>
    <row r="52" spans="1:17" ht="22.5" customHeight="1">
      <c r="A52" s="206"/>
      <c r="B52" s="206"/>
      <c r="C52" s="206"/>
      <c r="D52" s="206"/>
      <c r="E52" s="206"/>
      <c r="F52" s="206"/>
      <c r="G52" s="206"/>
      <c r="H52" s="206"/>
      <c r="I52" s="206"/>
      <c r="Q52" s="5"/>
    </row>
    <row r="53" spans="1:17" ht="12.75">
      <c r="A53" s="60"/>
      <c r="B53" s="61"/>
      <c r="C53" s="61"/>
      <c r="D53" s="61"/>
      <c r="E53" s="61"/>
      <c r="F53" s="61"/>
      <c r="G53" s="61"/>
      <c r="H53" s="61"/>
      <c r="I53" s="61"/>
      <c r="J53" s="62"/>
      <c r="Q53" s="5"/>
    </row>
    <row r="54" spans="1:17" ht="12.75" hidden="1" outlineLevel="1">
      <c r="A54" s="15" t="s">
        <v>62</v>
      </c>
      <c r="B54" s="63"/>
      <c r="C54" s="63"/>
      <c r="D54" s="63"/>
      <c r="E54" s="64"/>
      <c r="F54" s="64"/>
      <c r="G54" s="64"/>
      <c r="H54" s="64"/>
      <c r="I54" s="64"/>
      <c r="Q54" s="5"/>
    </row>
    <row r="55" spans="1:13" ht="12.75" hidden="1" outlineLevel="1">
      <c r="A55" s="64" t="s">
        <v>63</v>
      </c>
      <c r="B55" s="63"/>
      <c r="C55" s="65">
        <v>0.7438330166017336</v>
      </c>
      <c r="D55" s="66"/>
      <c r="E55" s="67">
        <f>(4249974.73+44103.07)/E17</f>
        <v>0.6813819330426644</v>
      </c>
      <c r="F55" s="68"/>
      <c r="G55" s="67">
        <v>0.7170001025255067</v>
      </c>
      <c r="H55" s="68"/>
      <c r="I55" s="67">
        <f>(8407084.92+94203.8)/I17</f>
        <v>0.460258567632594</v>
      </c>
      <c r="K55" s="69">
        <v>0.7023449061686631</v>
      </c>
      <c r="L55" s="69"/>
      <c r="M55" s="69"/>
    </row>
    <row r="56" spans="1:13" ht="12.75" hidden="1" outlineLevel="1">
      <c r="A56" t="s">
        <v>64</v>
      </c>
      <c r="C56" s="70">
        <f>C21/$C$17</f>
        <v>0.4927340171607457</v>
      </c>
      <c r="D56" s="70"/>
      <c r="E56" s="70">
        <f>E21/E17</f>
        <v>0.43622997921457796</v>
      </c>
      <c r="F56" s="3"/>
      <c r="G56" s="70">
        <f>G21/G17</f>
        <v>0.5090203511135295</v>
      </c>
      <c r="H56" s="3"/>
      <c r="I56" s="70">
        <f>I21/I17</f>
        <v>0.48345204399621455</v>
      </c>
      <c r="K56" s="71">
        <f>K21/K17</f>
        <v>0.5024781911988733</v>
      </c>
      <c r="L56" s="71"/>
      <c r="M56" s="71"/>
    </row>
    <row r="57" spans="1:13" ht="12.75" hidden="1" outlineLevel="1">
      <c r="A57" t="s">
        <v>65</v>
      </c>
      <c r="C57" s="70">
        <f>C42/$C$17</f>
        <v>0.32897640500226755</v>
      </c>
      <c r="D57" s="3"/>
      <c r="E57" s="70">
        <f>E42/E$17</f>
        <v>0.31833701390333535</v>
      </c>
      <c r="F57" s="3"/>
      <c r="G57" s="70">
        <f>G42/G$17</f>
        <v>0.3415557851365324</v>
      </c>
      <c r="H57" s="3"/>
      <c r="I57" s="70">
        <f>I42/I$17</f>
        <v>0.35765575495866964</v>
      </c>
      <c r="K57" s="71">
        <f>K42/K$17</f>
        <v>0.3344019594558527</v>
      </c>
      <c r="L57" s="71"/>
      <c r="M57" s="71"/>
    </row>
    <row r="58" spans="1:13" ht="12.75" hidden="1" outlineLevel="1">
      <c r="A58" t="s">
        <v>66</v>
      </c>
      <c r="C58" s="153">
        <f>-C32/C29</f>
        <v>0.25981018242437</v>
      </c>
      <c r="D58" s="72"/>
      <c r="E58" s="70">
        <f>-E32/E29</f>
        <v>0.2772374714890609</v>
      </c>
      <c r="F58" s="72"/>
      <c r="G58" s="70">
        <f>-G32/G29</f>
        <v>0.25833344178188367</v>
      </c>
      <c r="H58" s="72"/>
      <c r="I58" s="70">
        <f>-I32/I29</f>
        <v>0.2610521509442911</v>
      </c>
      <c r="J58" s="73"/>
      <c r="K58" s="74">
        <f>-K32/K29</f>
        <v>0.26535877403812275</v>
      </c>
      <c r="L58" s="74"/>
      <c r="M58" s="74"/>
    </row>
    <row r="59" spans="3:9" ht="12.75" hidden="1" outlineLevel="1">
      <c r="C59" s="75"/>
      <c r="D59" s="3"/>
      <c r="E59" s="3"/>
      <c r="F59" s="3"/>
      <c r="G59" s="75"/>
      <c r="H59" s="3"/>
      <c r="I59" s="3"/>
    </row>
    <row r="60" spans="1:9" ht="12.75" hidden="1" outlineLevel="1">
      <c r="A60" s="76" t="s">
        <v>67</v>
      </c>
      <c r="C60" s="3"/>
      <c r="D60" s="3"/>
      <c r="E60" s="3"/>
      <c r="F60" s="3"/>
      <c r="G60" s="3"/>
      <c r="H60" s="3"/>
      <c r="I60" s="3"/>
    </row>
    <row r="61" spans="3:9" ht="12.75" hidden="1" outlineLevel="1">
      <c r="C61" s="20" t="s">
        <v>68</v>
      </c>
      <c r="D61" s="20"/>
      <c r="E61" s="20" t="s">
        <v>69</v>
      </c>
      <c r="F61" s="20"/>
      <c r="G61" s="20" t="s">
        <v>70</v>
      </c>
      <c r="H61" s="3"/>
      <c r="I61" s="3"/>
    </row>
    <row r="62" spans="1:9" ht="12.75" hidden="1" outlineLevel="1">
      <c r="A62" t="s">
        <v>71</v>
      </c>
      <c r="C62" s="23">
        <v>5956711</v>
      </c>
      <c r="D62" s="3"/>
      <c r="E62" s="23">
        <v>3015294</v>
      </c>
      <c r="F62" s="23"/>
      <c r="G62" s="23">
        <v>2299394</v>
      </c>
      <c r="H62" s="3"/>
      <c r="I62" s="3"/>
    </row>
    <row r="63" spans="1:9" ht="12.75" hidden="1" outlineLevel="1">
      <c r="A63" t="s">
        <v>72</v>
      </c>
      <c r="C63" s="23">
        <v>6211956</v>
      </c>
      <c r="D63" s="3"/>
      <c r="E63" s="23">
        <v>3148951</v>
      </c>
      <c r="F63" s="3"/>
      <c r="G63" s="23">
        <v>2300587</v>
      </c>
      <c r="H63" s="3"/>
      <c r="I63" s="3"/>
    </row>
    <row r="64" spans="1:9" ht="12.75" hidden="1" outlineLevel="1">
      <c r="A64" t="s">
        <v>73</v>
      </c>
      <c r="C64" s="23">
        <v>6302013</v>
      </c>
      <c r="D64" s="3"/>
      <c r="E64" s="23">
        <v>2775689</v>
      </c>
      <c r="F64" s="3"/>
      <c r="G64" s="23">
        <v>2006164</v>
      </c>
      <c r="H64" s="3"/>
      <c r="I64" s="3"/>
    </row>
    <row r="65" spans="1:9" ht="12.75" hidden="1" outlineLevel="1">
      <c r="A65" t="s">
        <v>74</v>
      </c>
      <c r="C65" s="23">
        <v>6661387.21</v>
      </c>
      <c r="D65" s="3"/>
      <c r="E65" s="23">
        <v>3668299.31</v>
      </c>
      <c r="F65" s="3"/>
      <c r="G65" s="23">
        <v>2284221.43</v>
      </c>
      <c r="H65" s="3"/>
      <c r="I65" s="3"/>
    </row>
    <row r="66" spans="3:9" ht="13.5" hidden="1" outlineLevel="1" thickBot="1">
      <c r="C66" s="77">
        <f>SUM(C62:C65)</f>
        <v>25132067.21</v>
      </c>
      <c r="D66" s="23"/>
      <c r="E66" s="77">
        <f>SUM(E62:E65)</f>
        <v>12608233.31</v>
      </c>
      <c r="F66" s="3"/>
      <c r="G66" s="77">
        <f>SUM(G62:G65)</f>
        <v>8890366.43</v>
      </c>
      <c r="H66" s="3"/>
      <c r="I66" s="3"/>
    </row>
    <row r="67" spans="3:9" ht="13.5" hidden="1" outlineLevel="1" thickTop="1">
      <c r="C67" s="3"/>
      <c r="D67" s="3"/>
      <c r="E67" s="3"/>
      <c r="F67" s="3"/>
      <c r="G67" s="23"/>
      <c r="H67" s="3"/>
      <c r="I67" s="3"/>
    </row>
    <row r="68" spans="1:9" ht="12.75" hidden="1" outlineLevel="1">
      <c r="A68" t="s">
        <v>75</v>
      </c>
      <c r="C68" s="23">
        <v>6964796</v>
      </c>
      <c r="D68" s="3"/>
      <c r="E68" s="23">
        <v>3378180</v>
      </c>
      <c r="F68" s="3"/>
      <c r="G68" s="23">
        <v>2508610</v>
      </c>
      <c r="H68" s="3"/>
      <c r="I68" s="3"/>
    </row>
    <row r="69" spans="1:9" ht="12.75" hidden="1" outlineLevel="1">
      <c r="A69" t="s">
        <v>76</v>
      </c>
      <c r="C69" s="22">
        <f>K17</f>
        <v>7793184</v>
      </c>
      <c r="E69" s="22">
        <f>K29</f>
        <v>3547386</v>
      </c>
      <c r="G69" s="22">
        <f>K42</f>
        <v>2606056</v>
      </c>
      <c r="H69" s="3"/>
      <c r="I69" s="3"/>
    </row>
    <row r="70" spans="1:9" ht="12.75" hidden="1" outlineLevel="1">
      <c r="A70" t="s">
        <v>77</v>
      </c>
      <c r="C70" s="23">
        <f>$C$17</f>
        <v>8028439</v>
      </c>
      <c r="D70" s="3"/>
      <c r="E70" s="23">
        <f>$C$29</f>
        <v>3524858</v>
      </c>
      <c r="F70" s="3"/>
      <c r="G70" s="23">
        <f>$C$34</f>
        <v>2609064</v>
      </c>
      <c r="H70" s="3"/>
      <c r="I70" s="3"/>
    </row>
    <row r="71" spans="1:9" ht="12.75" hidden="1" outlineLevel="1">
      <c r="A71" t="s">
        <v>78</v>
      </c>
      <c r="C71" s="23"/>
      <c r="D71" s="3"/>
      <c r="E71" s="23"/>
      <c r="F71" s="3"/>
      <c r="G71" s="23"/>
      <c r="H71" s="3"/>
      <c r="I71" s="3"/>
    </row>
    <row r="72" spans="3:9" ht="13.5" hidden="1" outlineLevel="1" thickBot="1">
      <c r="C72" s="77">
        <f>SUM(C68:C71)</f>
        <v>22786419</v>
      </c>
      <c r="D72" s="23"/>
      <c r="E72" s="77">
        <f>SUM(E68:E71)</f>
        <v>10450424</v>
      </c>
      <c r="F72" s="3"/>
      <c r="G72" s="77">
        <f>SUM(G68:G71)</f>
        <v>7723730</v>
      </c>
      <c r="H72" s="3"/>
      <c r="I72" s="3"/>
    </row>
    <row r="73" spans="3:9" ht="13.5" hidden="1" outlineLevel="1" thickTop="1">
      <c r="C73" s="3"/>
      <c r="D73" s="3"/>
      <c r="E73" s="3"/>
      <c r="F73" s="3"/>
      <c r="G73" s="23"/>
      <c r="H73" s="3"/>
      <c r="I73" s="3"/>
    </row>
    <row r="74" spans="1:7" ht="12.75" hidden="1" outlineLevel="1">
      <c r="A74" s="76" t="s">
        <v>79</v>
      </c>
      <c r="G74" s="22"/>
    </row>
    <row r="75" spans="3:5" ht="12.75" hidden="1" outlineLevel="1">
      <c r="C75" s="78" t="s">
        <v>36</v>
      </c>
      <c r="D75" s="78"/>
      <c r="E75" s="78" t="s">
        <v>80</v>
      </c>
    </row>
    <row r="76" spans="1:5" ht="12.75" hidden="1" outlineLevel="1">
      <c r="A76" t="s">
        <v>68</v>
      </c>
      <c r="C76" s="73">
        <f>C17/E17-1</f>
        <v>0.27394833999866397</v>
      </c>
      <c r="E76" s="79">
        <f>C17/K17-1</f>
        <v>0.0301872764713369</v>
      </c>
    </row>
    <row r="77" spans="1:5" ht="12.75" hidden="1" outlineLevel="1">
      <c r="A77" t="s">
        <v>69</v>
      </c>
      <c r="C77" s="73">
        <f>C29/E29-1</f>
        <v>0.26990379685908605</v>
      </c>
      <c r="E77" s="79">
        <f>C29/K29-1</f>
        <v>-0.00635059167510954</v>
      </c>
    </row>
    <row r="78" spans="1:5" ht="12.75" hidden="1" outlineLevel="1">
      <c r="A78" t="s">
        <v>70</v>
      </c>
      <c r="C78" s="73">
        <f>C34/E34-1</f>
        <v>0.3005237856924958</v>
      </c>
      <c r="E78" s="79">
        <f>C42/K42-1</f>
        <v>0.013472849393873387</v>
      </c>
    </row>
    <row r="79" ht="12.75" hidden="1" outlineLevel="1"/>
    <row r="80" ht="12.75" hidden="1" outlineLevel="1">
      <c r="A80" s="76" t="s">
        <v>81</v>
      </c>
    </row>
    <row r="81" spans="3:5" ht="12.75" hidden="1" outlineLevel="1">
      <c r="C81" s="78" t="s">
        <v>36</v>
      </c>
      <c r="D81" s="78"/>
      <c r="E81" s="78"/>
    </row>
    <row r="82" spans="1:5" ht="12.75" hidden="1" outlineLevel="1">
      <c r="A82" t="s">
        <v>68</v>
      </c>
      <c r="C82" s="73">
        <f>G17/I17-1</f>
        <v>0.233653498409371</v>
      </c>
      <c r="E82" s="79"/>
    </row>
    <row r="83" spans="1:5" ht="12.75" hidden="1" outlineLevel="1">
      <c r="A83" t="s">
        <v>69</v>
      </c>
      <c r="C83" s="73">
        <f>G29/I29-1</f>
        <v>0.16895986033006505</v>
      </c>
      <c r="E83" s="79"/>
    </row>
    <row r="84" spans="1:5" ht="12.75" hidden="1" outlineLevel="1">
      <c r="A84" t="s">
        <v>70</v>
      </c>
      <c r="C84" s="73">
        <f>G34/I34-1</f>
        <v>0.17326065352788955</v>
      </c>
      <c r="E84" s="79"/>
    </row>
    <row r="85" ht="12.75" hidden="1" outlineLevel="1">
      <c r="E85" s="80"/>
    </row>
    <row r="86" ht="12.75" hidden="1" outlineLevel="1"/>
    <row r="87" ht="12.75" collapsed="1"/>
  </sheetData>
  <sheetProtection password="CC11" sheet="1" objects="1" scenarios="1" selectLockedCells="1" selectUnlockedCells="1"/>
  <mergeCells count="12">
    <mergeCell ref="A1:I1"/>
    <mergeCell ref="A2:I2"/>
    <mergeCell ref="A3:I3"/>
    <mergeCell ref="A5:I5"/>
    <mergeCell ref="A51:I52"/>
    <mergeCell ref="A6:I6"/>
    <mergeCell ref="K8:P8"/>
    <mergeCell ref="C10:E10"/>
    <mergeCell ref="G10:I10"/>
    <mergeCell ref="L11:M11"/>
    <mergeCell ref="L12:M12"/>
    <mergeCell ref="L13:M13"/>
  </mergeCells>
  <hyperlinks>
    <hyperlink ref="G42" location="Equity!I18" display="Equity!I18"/>
  </hyperlinks>
  <printOptions/>
  <pageMargins left="0.68" right="0.25" top="0.5" bottom="0.25" header="0.26" footer="0.5"/>
  <pageSetup fitToHeight="1" fitToWidth="1"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K52"/>
  <sheetViews>
    <sheetView showGridLines="0" workbookViewId="0" topLeftCell="A1">
      <pane ySplit="8" topLeftCell="BM9" activePane="bottomLeft" state="frozen"/>
      <selection pane="topLeft" activeCell="A1" sqref="A1"/>
      <selection pane="bottomLeft" activeCell="A9" sqref="A9"/>
    </sheetView>
  </sheetViews>
  <sheetFormatPr defaultColWidth="9.140625" defaultRowHeight="12.75" outlineLevelCol="1"/>
  <cols>
    <col min="1" max="1" width="4.00390625" style="12" customWidth="1"/>
    <col min="2" max="2" width="47.28125" style="0" customWidth="1"/>
    <col min="3" max="3" width="4.8515625" style="0" customWidth="1"/>
    <col min="4" max="4" width="18.140625" style="0" customWidth="1"/>
    <col min="5" max="5" width="2.7109375" style="0" customWidth="1"/>
    <col min="6" max="6" width="17.57421875" style="0" customWidth="1"/>
    <col min="7" max="7" width="13.140625" style="0" hidden="1" customWidth="1" outlineLevel="1"/>
    <col min="8" max="8" width="4.7109375" style="136" hidden="1" customWidth="1" outlineLevel="1"/>
    <col min="9" max="9" width="11.28125" style="156" hidden="1" customWidth="1" outlineLevel="1"/>
    <col min="10" max="10" width="8.7109375" style="156" hidden="1" customWidth="1" outlineLevel="1"/>
    <col min="11" max="11" width="8.7109375" style="136" hidden="1" customWidth="1" outlineLevel="1"/>
    <col min="12" max="12" width="8.7109375" style="0" customWidth="1" collapsed="1"/>
  </cols>
  <sheetData>
    <row r="1" spans="1:6" ht="15.75">
      <c r="A1" s="216" t="s">
        <v>0</v>
      </c>
      <c r="B1" s="216"/>
      <c r="C1" s="216"/>
      <c r="D1" s="216"/>
      <c r="E1" s="216"/>
      <c r="F1" s="216"/>
    </row>
    <row r="2" spans="1:6" ht="15.75">
      <c r="A2" s="216" t="s">
        <v>1</v>
      </c>
      <c r="B2" s="216"/>
      <c r="C2" s="216"/>
      <c r="D2" s="216"/>
      <c r="E2" s="216"/>
      <c r="F2" s="216"/>
    </row>
    <row r="3" spans="1:6" ht="15.75">
      <c r="A3" s="216" t="s">
        <v>2</v>
      </c>
      <c r="B3" s="216"/>
      <c r="C3" s="216"/>
      <c r="D3" s="216"/>
      <c r="E3" s="216"/>
      <c r="F3" s="216"/>
    </row>
    <row r="4" spans="1:6" ht="16.5" thickBot="1">
      <c r="A4" s="137"/>
      <c r="B4" s="138"/>
      <c r="C4" s="138"/>
      <c r="D4" s="138"/>
      <c r="E4" s="138"/>
      <c r="F4" s="138"/>
    </row>
    <row r="5" spans="1:10" ht="15.75">
      <c r="A5" s="218" t="s">
        <v>13</v>
      </c>
      <c r="B5" s="218"/>
      <c r="C5" s="218"/>
      <c r="D5" s="218"/>
      <c r="E5" s="218"/>
      <c r="F5" s="218"/>
      <c r="G5" s="139" t="s">
        <v>90</v>
      </c>
      <c r="I5" s="219" t="s">
        <v>175</v>
      </c>
      <c r="J5" s="219"/>
    </row>
    <row r="6" spans="1:7" ht="16.5" thickBot="1">
      <c r="A6" s="207" t="s">
        <v>16</v>
      </c>
      <c r="B6" s="207"/>
      <c r="C6" s="207"/>
      <c r="D6" s="207"/>
      <c r="E6" s="207"/>
      <c r="F6" s="207"/>
      <c r="G6" s="139" t="s">
        <v>92</v>
      </c>
    </row>
    <row r="7" ht="12.75">
      <c r="G7" s="118"/>
    </row>
    <row r="8" spans="1:10" ht="15.75">
      <c r="A8" s="11" t="s">
        <v>132</v>
      </c>
      <c r="B8" s="12"/>
      <c r="C8" s="12"/>
      <c r="G8" s="118"/>
      <c r="I8" s="156" t="s">
        <v>174</v>
      </c>
      <c r="J8" s="156" t="s">
        <v>176</v>
      </c>
    </row>
    <row r="9" spans="4:7" ht="12.75">
      <c r="D9" s="13" t="s">
        <v>133</v>
      </c>
      <c r="E9" s="13"/>
      <c r="F9" s="185" t="s">
        <v>133</v>
      </c>
      <c r="G9" s="118"/>
    </row>
    <row r="10" spans="4:7" ht="12.75">
      <c r="D10" s="140">
        <v>39355</v>
      </c>
      <c r="E10" s="13"/>
      <c r="F10" s="186" t="s">
        <v>134</v>
      </c>
      <c r="G10" s="118"/>
    </row>
    <row r="11" spans="4:7" ht="12.75">
      <c r="D11" s="86" t="s">
        <v>89</v>
      </c>
      <c r="E11" s="17"/>
      <c r="F11" s="185" t="s">
        <v>88</v>
      </c>
      <c r="G11" s="118"/>
    </row>
    <row r="12" spans="3:7" ht="12.75">
      <c r="C12" t="s">
        <v>38</v>
      </c>
      <c r="D12" s="13" t="s">
        <v>39</v>
      </c>
      <c r="E12" s="13"/>
      <c r="F12" s="185" t="s">
        <v>39</v>
      </c>
      <c r="G12" s="118"/>
    </row>
    <row r="13" spans="1:7" ht="12.75">
      <c r="A13" s="12" t="s">
        <v>135</v>
      </c>
      <c r="D13" s="13"/>
      <c r="E13" s="13"/>
      <c r="F13" s="185"/>
      <c r="G13" s="118"/>
    </row>
    <row r="14" spans="1:7" ht="12.75">
      <c r="A14" s="12" t="s">
        <v>136</v>
      </c>
      <c r="F14" s="83"/>
      <c r="G14" s="118"/>
    </row>
    <row r="15" spans="2:11" s="12" customFormat="1" ht="12.75">
      <c r="B15" s="83" t="s">
        <v>137</v>
      </c>
      <c r="D15" s="91">
        <v>37338681</v>
      </c>
      <c r="E15" s="141" t="s">
        <v>138</v>
      </c>
      <c r="F15" s="185">
        <v>20080184</v>
      </c>
      <c r="G15" s="123">
        <f>ROUND(D15,0)</f>
        <v>37338681</v>
      </c>
      <c r="H15" s="142">
        <f>D15-G15</f>
        <v>0</v>
      </c>
      <c r="I15" s="157">
        <f>D15-F15</f>
        <v>17258497</v>
      </c>
      <c r="J15" s="154">
        <f>I15/F15</f>
        <v>0.8594790266862097</v>
      </c>
      <c r="K15" s="142"/>
    </row>
    <row r="16" spans="2:11" s="12" customFormat="1" ht="12.75">
      <c r="B16" s="83" t="s">
        <v>139</v>
      </c>
      <c r="C16" s="143"/>
      <c r="D16" s="91">
        <v>19242709</v>
      </c>
      <c r="E16" s="141"/>
      <c r="F16" s="185">
        <v>19395833</v>
      </c>
      <c r="G16" s="123">
        <f>ROUND(D16,0)</f>
        <v>19242709</v>
      </c>
      <c r="H16" s="142"/>
      <c r="I16" s="157">
        <f>D16-F16</f>
        <v>-153124</v>
      </c>
      <c r="J16" s="154">
        <f>I16/F16</f>
        <v>-0.007894685420316828</v>
      </c>
      <c r="K16" s="142"/>
    </row>
    <row r="17" spans="2:11" s="12" customFormat="1" ht="12.75">
      <c r="B17" s="83" t="s">
        <v>140</v>
      </c>
      <c r="D17" s="91">
        <v>8691273</v>
      </c>
      <c r="E17" s="141" t="s">
        <v>138</v>
      </c>
      <c r="F17" s="141">
        <v>6914021</v>
      </c>
      <c r="G17" s="123">
        <f>ROUND(D17,0)</f>
        <v>8691273</v>
      </c>
      <c r="H17" s="142">
        <f>D17-G17</f>
        <v>0</v>
      </c>
      <c r="I17" s="157">
        <f>D17-F17</f>
        <v>1777252</v>
      </c>
      <c r="J17" s="154">
        <f>I17/F17</f>
        <v>0.2570504197195814</v>
      </c>
      <c r="K17" s="142"/>
    </row>
    <row r="18" spans="4:11" ht="12.75">
      <c r="D18" s="99">
        <f>ROUND(SUM(D15:D17),0)</f>
        <v>65272663</v>
      </c>
      <c r="E18" s="141"/>
      <c r="F18" s="187">
        <f>SUM(F15:F17)</f>
        <v>46390038</v>
      </c>
      <c r="G18" s="144">
        <f>SUM(G12:G17)</f>
        <v>65272663</v>
      </c>
      <c r="H18" s="142">
        <f>D18-G18</f>
        <v>0</v>
      </c>
      <c r="K18" s="142"/>
    </row>
    <row r="19" spans="1:7" ht="12.75">
      <c r="A19" s="12" t="s">
        <v>141</v>
      </c>
      <c r="D19" s="91"/>
      <c r="E19" s="141"/>
      <c r="F19" s="141"/>
      <c r="G19" s="118"/>
    </row>
    <row r="20" spans="2:11" ht="12.75">
      <c r="B20" t="s">
        <v>142</v>
      </c>
      <c r="D20" s="91">
        <v>967414</v>
      </c>
      <c r="E20" s="141"/>
      <c r="F20" s="141">
        <v>681837</v>
      </c>
      <c r="G20" s="123">
        <f>ROUND(D20,0)</f>
        <v>967414</v>
      </c>
      <c r="H20" s="142">
        <f>D20-G20</f>
        <v>0</v>
      </c>
      <c r="I20" s="157">
        <f>D20-F20</f>
        <v>285577</v>
      </c>
      <c r="J20" s="154">
        <f>I20/F20</f>
        <v>0.4188347068287582</v>
      </c>
      <c r="K20" s="142"/>
    </row>
    <row r="21" spans="2:11" ht="12.75">
      <c r="B21" t="s">
        <v>143</v>
      </c>
      <c r="D21" s="91">
        <f>3778486-11-1076151-100000</f>
        <v>2602324</v>
      </c>
      <c r="E21" s="141"/>
      <c r="F21" s="141">
        <f>686538+1003803</f>
        <v>1690341</v>
      </c>
      <c r="G21" s="123">
        <f>ROUND(D21,0)</f>
        <v>2602324</v>
      </c>
      <c r="H21" s="142">
        <f>D21-G21</f>
        <v>0</v>
      </c>
      <c r="I21" s="157">
        <f>D21-F21</f>
        <v>911983</v>
      </c>
      <c r="J21" s="154">
        <f>I21/F21</f>
        <v>0.5395260482943974</v>
      </c>
      <c r="K21" s="142"/>
    </row>
    <row r="22" spans="2:11" ht="12.75">
      <c r="B22" t="s">
        <v>144</v>
      </c>
      <c r="D22" s="91">
        <v>15603727</v>
      </c>
      <c r="E22" s="141"/>
      <c r="F22" s="141">
        <v>11889617</v>
      </c>
      <c r="G22" s="123">
        <f>ROUND(D22,0)</f>
        <v>15603727</v>
      </c>
      <c r="H22" s="142">
        <f>D22-G22</f>
        <v>0</v>
      </c>
      <c r="I22" s="157">
        <f>D22-F22</f>
        <v>3714110</v>
      </c>
      <c r="J22" s="154">
        <f>I22/F22</f>
        <v>0.3123826444535598</v>
      </c>
      <c r="K22" s="142"/>
    </row>
    <row r="23" spans="4:11" ht="12.75">
      <c r="D23" s="99">
        <f>ROUND(SUM(D20:D22),0)</f>
        <v>19173465</v>
      </c>
      <c r="E23" s="141"/>
      <c r="F23" s="187">
        <f>SUM(F20:F22)</f>
        <v>14261795</v>
      </c>
      <c r="G23" s="144">
        <f>SUM(G20:G22)</f>
        <v>19173465</v>
      </c>
      <c r="H23" s="142">
        <f>D23-G23</f>
        <v>0</v>
      </c>
      <c r="K23" s="142"/>
    </row>
    <row r="24" spans="1:11" s="12" customFormat="1" ht="13.5" thickBot="1">
      <c r="A24" s="12" t="s">
        <v>145</v>
      </c>
      <c r="D24" s="145">
        <f>D23+D18</f>
        <v>84446128</v>
      </c>
      <c r="E24" s="141"/>
      <c r="F24" s="188">
        <f>F23+F18</f>
        <v>60651833</v>
      </c>
      <c r="G24" s="122"/>
      <c r="H24" s="142"/>
      <c r="I24" s="156"/>
      <c r="J24" s="156"/>
      <c r="K24" s="142"/>
    </row>
    <row r="25" spans="4:11" s="12" customFormat="1" ht="12.75">
      <c r="D25" s="93"/>
      <c r="E25" s="141"/>
      <c r="F25" s="146"/>
      <c r="G25" s="122"/>
      <c r="H25" s="142"/>
      <c r="I25" s="156"/>
      <c r="J25" s="156"/>
      <c r="K25" s="142"/>
    </row>
    <row r="26" spans="1:11" s="12" customFormat="1" ht="12.75">
      <c r="A26" s="12" t="s">
        <v>146</v>
      </c>
      <c r="D26" s="93"/>
      <c r="E26" s="141"/>
      <c r="F26" s="146"/>
      <c r="G26" s="122"/>
      <c r="H26" s="142"/>
      <c r="I26" s="156"/>
      <c r="J26" s="156"/>
      <c r="K26" s="142"/>
    </row>
    <row r="27" spans="1:11" s="12" customFormat="1" ht="12.75">
      <c r="A27" s="12" t="s">
        <v>147</v>
      </c>
      <c r="D27" s="93"/>
      <c r="E27" s="141"/>
      <c r="F27" s="146"/>
      <c r="G27" s="122"/>
      <c r="H27" s="142"/>
      <c r="I27" s="156"/>
      <c r="J27" s="156"/>
      <c r="K27" s="142"/>
    </row>
    <row r="28" spans="2:11" ht="12.75">
      <c r="B28" t="s">
        <v>148</v>
      </c>
      <c r="D28" s="91">
        <v>18516300</v>
      </c>
      <c r="E28" s="141"/>
      <c r="F28" s="141">
        <v>16833000</v>
      </c>
      <c r="G28" s="123">
        <f>ROUND(D28,0)</f>
        <v>18516300</v>
      </c>
      <c r="H28" s="142">
        <f>D28-G28</f>
        <v>0</v>
      </c>
      <c r="I28" s="157">
        <f>D28-F28</f>
        <v>1683300</v>
      </c>
      <c r="J28" s="154">
        <f>I28/F28</f>
        <v>0.1</v>
      </c>
      <c r="K28" s="142"/>
    </row>
    <row r="29" spans="2:11" ht="12.75">
      <c r="B29" t="s">
        <v>149</v>
      </c>
      <c r="D29" s="91">
        <v>26990936</v>
      </c>
      <c r="E29" s="141"/>
      <c r="F29" s="141">
        <v>10324678</v>
      </c>
      <c r="G29" s="123">
        <f>ROUND(D29,0)</f>
        <v>26990936</v>
      </c>
      <c r="H29" s="142">
        <f>D29-G29</f>
        <v>0</v>
      </c>
      <c r="I29" s="157">
        <f>D29-F29</f>
        <v>16666258</v>
      </c>
      <c r="J29" s="154">
        <f>I29/F29</f>
        <v>1.6142157653730218</v>
      </c>
      <c r="K29" s="142"/>
    </row>
    <row r="30" spans="2:11" ht="12.75">
      <c r="B30" t="s">
        <v>150</v>
      </c>
      <c r="C30" s="143"/>
      <c r="D30" s="91">
        <f>Equity!H26-100000+100000</f>
        <v>28361575</v>
      </c>
      <c r="E30" s="146"/>
      <c r="F30" s="189">
        <v>21807551</v>
      </c>
      <c r="G30" s="123">
        <f>ROUND(D30,0)</f>
        <v>28361575</v>
      </c>
      <c r="H30" s="142">
        <f>D30-G30</f>
        <v>0</v>
      </c>
      <c r="I30" s="157">
        <f>D30-F30</f>
        <v>6554024</v>
      </c>
      <c r="J30" s="154">
        <f>I30/F30</f>
        <v>0.3005392031411505</v>
      </c>
      <c r="K30" s="142"/>
    </row>
    <row r="31" spans="1:11" ht="12.75">
      <c r="A31" s="12" t="s">
        <v>166</v>
      </c>
      <c r="C31" s="143"/>
      <c r="D31" s="38">
        <f>SUM(D28:D30)</f>
        <v>73868811</v>
      </c>
      <c r="E31" s="146"/>
      <c r="F31" s="38">
        <f>SUM(F28:F30)</f>
        <v>48965229</v>
      </c>
      <c r="G31" s="123"/>
      <c r="H31" s="142"/>
      <c r="K31" s="142"/>
    </row>
    <row r="32" spans="2:11" ht="12.75">
      <c r="B32" s="12" t="s">
        <v>167</v>
      </c>
      <c r="C32" s="143"/>
      <c r="D32" s="91"/>
      <c r="E32" s="146"/>
      <c r="F32" s="190"/>
      <c r="G32" s="123"/>
      <c r="H32" s="142"/>
      <c r="K32" s="142"/>
    </row>
    <row r="33" spans="1:11" ht="12.75">
      <c r="A33" s="12" t="s">
        <v>165</v>
      </c>
      <c r="C33" s="143"/>
      <c r="D33" s="92">
        <f>-32092.231995-11</f>
        <v>-32103.231995</v>
      </c>
      <c r="E33" s="146"/>
      <c r="F33" s="191">
        <v>0</v>
      </c>
      <c r="G33" s="123"/>
      <c r="H33" s="142"/>
      <c r="I33" s="157">
        <f>D33-F33</f>
        <v>-32103.231995</v>
      </c>
      <c r="J33" s="154" t="e">
        <f>I33/F33</f>
        <v>#DIV/0!</v>
      </c>
      <c r="K33" s="142"/>
    </row>
    <row r="34" spans="2:11" s="12" customFormat="1" ht="12.75">
      <c r="B34" s="12" t="s">
        <v>151</v>
      </c>
      <c r="D34" s="99">
        <f>ROUND(SUM(D28:D30,D33),0)</f>
        <v>73836708</v>
      </c>
      <c r="E34" s="141"/>
      <c r="F34" s="192">
        <f>SUM(F28:F30)</f>
        <v>48965229</v>
      </c>
      <c r="G34" s="123"/>
      <c r="H34" s="142"/>
      <c r="I34" s="157">
        <f>D34-F34</f>
        <v>24871479</v>
      </c>
      <c r="J34" s="154">
        <f>I34/F34</f>
        <v>0.5079416456931101</v>
      </c>
      <c r="K34" s="142"/>
    </row>
    <row r="35" spans="4:11" s="12" customFormat="1" ht="12.75">
      <c r="D35" s="93"/>
      <c r="E35" s="141"/>
      <c r="F35" s="190"/>
      <c r="G35" s="122"/>
      <c r="H35" s="142"/>
      <c r="I35" s="156"/>
      <c r="J35" s="156"/>
      <c r="K35" s="142"/>
    </row>
    <row r="36" spans="1:11" s="12" customFormat="1" ht="12.75">
      <c r="A36" s="12" t="s">
        <v>177</v>
      </c>
      <c r="D36" s="93"/>
      <c r="E36" s="141"/>
      <c r="F36" s="190"/>
      <c r="G36" s="122"/>
      <c r="H36" s="142"/>
      <c r="I36" s="156"/>
      <c r="J36" s="156"/>
      <c r="K36" s="142"/>
    </row>
    <row r="37" spans="2:11" s="12" customFormat="1" ht="12.75">
      <c r="B37" s="83" t="s">
        <v>163</v>
      </c>
      <c r="C37" s="83" t="s">
        <v>164</v>
      </c>
      <c r="D37" s="92">
        <v>1734282.08</v>
      </c>
      <c r="E37" s="141"/>
      <c r="F37" s="190">
        <v>0</v>
      </c>
      <c r="G37" s="122"/>
      <c r="H37" s="142"/>
      <c r="I37" s="157">
        <f>D37-F37</f>
        <v>1734282.08</v>
      </c>
      <c r="J37" s="154" t="e">
        <f>I37/F37</f>
        <v>#DIV/0!</v>
      </c>
      <c r="K37" s="142"/>
    </row>
    <row r="38" spans="2:11" s="12" customFormat="1" ht="12.75">
      <c r="B38" s="83" t="s">
        <v>152</v>
      </c>
      <c r="D38" s="96">
        <v>3190997</v>
      </c>
      <c r="E38" s="141"/>
      <c r="F38" s="191">
        <v>3190997</v>
      </c>
      <c r="G38" s="122"/>
      <c r="H38" s="142"/>
      <c r="I38" s="157">
        <f>D38-F38</f>
        <v>0</v>
      </c>
      <c r="J38" s="154">
        <f>I38/F38</f>
        <v>0</v>
      </c>
      <c r="K38" s="142"/>
    </row>
    <row r="39" spans="2:11" s="12" customFormat="1" ht="12.75">
      <c r="B39"/>
      <c r="C39"/>
      <c r="D39" s="89">
        <f>SUM(D37:D38)</f>
        <v>4925279.08</v>
      </c>
      <c r="E39" s="141"/>
      <c r="F39" s="190">
        <f>SUM(F37:F38)</f>
        <v>3190997</v>
      </c>
      <c r="G39" s="122"/>
      <c r="H39" s="142"/>
      <c r="I39" s="156"/>
      <c r="J39" s="156"/>
      <c r="K39" s="142"/>
    </row>
    <row r="40" spans="1:7" ht="12.75">
      <c r="A40" s="12" t="s">
        <v>153</v>
      </c>
      <c r="D40" s="91"/>
      <c r="E40" s="141"/>
      <c r="F40" s="193"/>
      <c r="G40" s="118"/>
    </row>
    <row r="41" spans="2:11" ht="12.75">
      <c r="B41" t="s">
        <v>154</v>
      </c>
      <c r="D41" s="91">
        <v>4809014</v>
      </c>
      <c r="E41" s="141"/>
      <c r="F41" s="193">
        <f>1168428+6371331</f>
        <v>7539759</v>
      </c>
      <c r="G41" s="123">
        <f>ROUND(D41,0)</f>
        <v>4809014</v>
      </c>
      <c r="H41" s="142">
        <f>D41-G41</f>
        <v>0</v>
      </c>
      <c r="I41" s="157">
        <f>D41-F41</f>
        <v>-2730745</v>
      </c>
      <c r="J41" s="154">
        <f>I41/F41</f>
        <v>-0.3621793481727997</v>
      </c>
      <c r="K41" s="142"/>
    </row>
    <row r="42" spans="2:11" ht="12.75">
      <c r="B42" t="s">
        <v>155</v>
      </c>
      <c r="D42" s="91">
        <f>929126-26999-27000</f>
        <v>875127</v>
      </c>
      <c r="E42" s="141"/>
      <c r="F42" s="193">
        <v>955848</v>
      </c>
      <c r="G42" s="123">
        <f>ROUND(D42,0)</f>
        <v>875127</v>
      </c>
      <c r="H42" s="142">
        <f>D42-G42</f>
        <v>0</v>
      </c>
      <c r="I42" s="157">
        <f>D42-F42</f>
        <v>-80721</v>
      </c>
      <c r="J42" s="154">
        <f>I42/F42</f>
        <v>-0.08444961960479072</v>
      </c>
      <c r="K42" s="142"/>
    </row>
    <row r="43" spans="4:11" ht="12.75">
      <c r="D43" s="99">
        <f>ROUND(SUM(D41:D42),0)</f>
        <v>5684141</v>
      </c>
      <c r="E43" s="141"/>
      <c r="F43" s="192">
        <f>SUM(F41:F42)</f>
        <v>8495607</v>
      </c>
      <c r="G43" s="144">
        <f>SUM(G41:G42)</f>
        <v>5684141</v>
      </c>
      <c r="H43" s="142">
        <f>D43-G43</f>
        <v>0</v>
      </c>
      <c r="I43" s="157">
        <f>D43-F43</f>
        <v>-2811466</v>
      </c>
      <c r="J43" s="154">
        <f>I43/F43</f>
        <v>-0.3309317391917964</v>
      </c>
      <c r="K43" s="142"/>
    </row>
    <row r="44" spans="2:10" ht="12.75">
      <c r="B44" s="12" t="s">
        <v>156</v>
      </c>
      <c r="D44" s="99">
        <f>D43+D39</f>
        <v>10609420.08</v>
      </c>
      <c r="E44" s="146"/>
      <c r="F44" s="192">
        <f>F39+F43</f>
        <v>11686604</v>
      </c>
      <c r="G44" s="118"/>
      <c r="I44" s="157">
        <f>D44-F44</f>
        <v>-1077183.92</v>
      </c>
      <c r="J44" s="154">
        <f>I44/F44</f>
        <v>-0.09217253532334971</v>
      </c>
    </row>
    <row r="45" spans="2:7" ht="12.75">
      <c r="B45" s="12"/>
      <c r="D45" s="92"/>
      <c r="E45" s="146"/>
      <c r="F45" s="190"/>
      <c r="G45" s="118"/>
    </row>
    <row r="46" spans="1:10" ht="13.5" thickBot="1">
      <c r="A46" s="12" t="s">
        <v>157</v>
      </c>
      <c r="B46" s="51"/>
      <c r="C46" s="51"/>
      <c r="D46" s="147">
        <f>ROUND(D44+D34,0)</f>
        <v>84446128</v>
      </c>
      <c r="E46" s="134"/>
      <c r="F46" s="194">
        <f>F44+F34</f>
        <v>60651833</v>
      </c>
      <c r="G46" s="148"/>
      <c r="I46" s="157">
        <f>D46-F46</f>
        <v>23794295</v>
      </c>
      <c r="J46" s="154">
        <f>I46/F46</f>
        <v>0.3923095778490322</v>
      </c>
    </row>
    <row r="47" spans="1:7" ht="12.75">
      <c r="A47" s="101"/>
      <c r="B47" s="51"/>
      <c r="C47" s="51"/>
      <c r="D47" s="149">
        <f>ROUND(D46-D24,0)</f>
        <v>0</v>
      </c>
      <c r="E47" s="134"/>
      <c r="F47" s="135">
        <f>F46-F24</f>
        <v>0</v>
      </c>
      <c r="G47" s="150" t="s">
        <v>158</v>
      </c>
    </row>
    <row r="48" spans="2:7" ht="12" customHeight="1">
      <c r="B48" s="51"/>
      <c r="C48" s="51"/>
      <c r="D48" s="151"/>
      <c r="E48" s="134"/>
      <c r="F48" s="51"/>
      <c r="G48" s="152"/>
    </row>
    <row r="49" spans="1:6" ht="21.75" customHeight="1">
      <c r="A49" s="220" t="s">
        <v>159</v>
      </c>
      <c r="B49" s="221"/>
      <c r="C49" s="221"/>
      <c r="D49" s="221"/>
      <c r="E49" s="221"/>
      <c r="F49" s="221"/>
    </row>
    <row r="50" spans="1:6" ht="21.75" customHeight="1">
      <c r="A50" s="221"/>
      <c r="B50" s="221"/>
      <c r="C50" s="221"/>
      <c r="D50" s="221"/>
      <c r="E50" s="221"/>
      <c r="F50" s="221"/>
    </row>
    <row r="51" spans="1:4" ht="12.75">
      <c r="A51"/>
      <c r="D51" s="22"/>
    </row>
    <row r="52" ht="12.75">
      <c r="D52" s="22" t="s">
        <v>15</v>
      </c>
    </row>
  </sheetData>
  <sheetProtection password="CC11" sheet="1" objects="1" scenarios="1" selectLockedCells="1" selectUnlockedCells="1"/>
  <mergeCells count="7">
    <mergeCell ref="I5:J5"/>
    <mergeCell ref="A6:F6"/>
    <mergeCell ref="A49:F50"/>
    <mergeCell ref="A1:F1"/>
    <mergeCell ref="A2:F2"/>
    <mergeCell ref="A3:F3"/>
    <mergeCell ref="A5:F5"/>
  </mergeCells>
  <printOptions/>
  <pageMargins left="0.5" right="0.2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R46"/>
  <sheetViews>
    <sheetView showGridLines="0" workbookViewId="0" topLeftCell="A10">
      <selection activeCell="A18" sqref="A18"/>
    </sheetView>
  </sheetViews>
  <sheetFormatPr defaultColWidth="9.140625" defaultRowHeight="12.75" outlineLevelCol="1"/>
  <cols>
    <col min="1" max="1" width="28.00390625" style="0" customWidth="1"/>
    <col min="2" max="2" width="2.28125" style="0" customWidth="1"/>
    <col min="3" max="3" width="11.7109375" style="0" customWidth="1"/>
    <col min="4" max="4" width="2.28125" style="0" customWidth="1"/>
    <col min="5" max="5" width="11.7109375" style="0" customWidth="1"/>
    <col min="6" max="7" width="2.28125" style="0" customWidth="1"/>
    <col min="8" max="8" width="12.421875" style="0" customWidth="1"/>
    <col min="9" max="10" width="2.28125" style="0" customWidth="1"/>
    <col min="11" max="11" width="11.28125" style="0" bestFit="1" customWidth="1"/>
    <col min="12" max="12" width="2.28125" style="0" customWidth="1"/>
    <col min="13" max="13" width="11.140625" style="0" customWidth="1"/>
    <col min="14" max="14" width="1.7109375" style="0" customWidth="1"/>
    <col min="15" max="15" width="11.28125" style="0" bestFit="1" customWidth="1"/>
    <col min="16" max="16" width="4.7109375" style="0" bestFit="1" customWidth="1"/>
    <col min="17" max="17" width="11.140625" style="124" hidden="1" customWidth="1" outlineLevel="1"/>
    <col min="18" max="18" width="9.140625" style="0" hidden="1" customWidth="1" outlineLevel="1"/>
    <col min="19" max="19" width="9.140625" style="0" customWidth="1" collapsed="1"/>
  </cols>
  <sheetData>
    <row r="1" spans="1:15" ht="15.75">
      <c r="A1" s="216" t="s">
        <v>0</v>
      </c>
      <c r="B1" s="217"/>
      <c r="C1" s="217"/>
      <c r="D1" s="217"/>
      <c r="E1" s="217"/>
      <c r="F1" s="217"/>
      <c r="G1" s="217"/>
      <c r="H1" s="217"/>
      <c r="I1" s="217"/>
      <c r="J1" s="217"/>
      <c r="K1" s="217"/>
      <c r="L1" s="217"/>
      <c r="M1" s="217"/>
      <c r="N1" s="217"/>
      <c r="O1" s="217"/>
    </row>
    <row r="2" spans="1:15" ht="15.75">
      <c r="A2" s="216" t="s">
        <v>1</v>
      </c>
      <c r="B2" s="217"/>
      <c r="C2" s="217"/>
      <c r="D2" s="217"/>
      <c r="E2" s="217"/>
      <c r="F2" s="217"/>
      <c r="G2" s="217"/>
      <c r="H2" s="217"/>
      <c r="I2" s="217"/>
      <c r="J2" s="217"/>
      <c r="K2" s="217"/>
      <c r="L2" s="217"/>
      <c r="M2" s="217"/>
      <c r="N2" s="217"/>
      <c r="O2" s="217"/>
    </row>
    <row r="3" spans="1:15" ht="15.75">
      <c r="A3" s="216" t="s">
        <v>2</v>
      </c>
      <c r="B3" s="217"/>
      <c r="C3" s="217"/>
      <c r="D3" s="217"/>
      <c r="E3" s="217"/>
      <c r="F3" s="217"/>
      <c r="G3" s="217"/>
      <c r="H3" s="217"/>
      <c r="I3" s="217"/>
      <c r="J3" s="217"/>
      <c r="K3" s="217"/>
      <c r="L3" s="217"/>
      <c r="M3" s="217"/>
      <c r="N3" s="217"/>
      <c r="O3" s="217"/>
    </row>
    <row r="4" spans="1:15" ht="16.5" thickBot="1">
      <c r="A4" s="6"/>
      <c r="B4" s="6"/>
      <c r="C4" s="6"/>
      <c r="D4" s="6"/>
      <c r="E4" s="6"/>
      <c r="F4" s="6"/>
      <c r="G4" s="6"/>
      <c r="H4" s="6"/>
      <c r="I4" s="6"/>
      <c r="J4" s="6"/>
      <c r="K4" s="6"/>
      <c r="L4" s="6"/>
      <c r="M4" s="6"/>
      <c r="N4" s="6"/>
      <c r="O4" s="6"/>
    </row>
    <row r="5" spans="1:15" ht="15.75">
      <c r="A5" s="218" t="s">
        <v>13</v>
      </c>
      <c r="B5" s="218"/>
      <c r="C5" s="218"/>
      <c r="D5" s="218"/>
      <c r="E5" s="218"/>
      <c r="F5" s="218"/>
      <c r="G5" s="218"/>
      <c r="H5" s="218"/>
      <c r="I5" s="218"/>
      <c r="J5" s="218"/>
      <c r="K5" s="218"/>
      <c r="L5" s="218"/>
      <c r="M5" s="218"/>
      <c r="N5" s="218"/>
      <c r="O5" s="218"/>
    </row>
    <row r="6" spans="1:15" ht="16.5" thickBot="1">
      <c r="A6" s="207" t="s">
        <v>16</v>
      </c>
      <c r="B6" s="207"/>
      <c r="C6" s="207"/>
      <c r="D6" s="207"/>
      <c r="E6" s="207"/>
      <c r="F6" s="207"/>
      <c r="G6" s="207"/>
      <c r="H6" s="207"/>
      <c r="I6" s="207"/>
      <c r="J6" s="207"/>
      <c r="K6" s="207"/>
      <c r="L6" s="207"/>
      <c r="M6" s="207"/>
      <c r="N6" s="207"/>
      <c r="O6" s="207"/>
    </row>
    <row r="7" spans="1:15" ht="15.75">
      <c r="A7" s="125"/>
      <c r="B7" s="125"/>
      <c r="C7" s="125"/>
      <c r="D7" s="125"/>
      <c r="E7" s="125"/>
      <c r="F7" s="125"/>
      <c r="G7" s="125"/>
      <c r="H7" s="125"/>
      <c r="I7" s="125"/>
      <c r="J7" s="125"/>
      <c r="K7" s="125"/>
      <c r="L7" s="125"/>
      <c r="M7" s="125"/>
      <c r="N7" s="125"/>
      <c r="O7" s="125"/>
    </row>
    <row r="8" spans="1:15" ht="15.75">
      <c r="A8" s="11" t="s">
        <v>121</v>
      </c>
      <c r="B8" s="11"/>
      <c r="C8" s="125"/>
      <c r="D8" s="125"/>
      <c r="E8" s="125"/>
      <c r="F8" s="125"/>
      <c r="G8" s="125"/>
      <c r="H8" s="125"/>
      <c r="I8" s="125"/>
      <c r="J8" s="125"/>
      <c r="K8" s="125"/>
      <c r="L8" s="125"/>
      <c r="M8" s="125"/>
      <c r="N8" s="125"/>
      <c r="O8" s="125"/>
    </row>
    <row r="9" spans="1:2" ht="12.75">
      <c r="A9" s="12"/>
      <c r="B9" s="12"/>
    </row>
    <row r="10" ht="12.75" customHeight="1">
      <c r="C10" s="12" t="s">
        <v>172</v>
      </c>
    </row>
    <row r="11" spans="3:15" ht="12.75">
      <c r="C11" s="13"/>
      <c r="D11" s="13"/>
      <c r="E11" s="13"/>
      <c r="F11" s="13"/>
      <c r="G11" s="13"/>
      <c r="H11" s="222" t="s">
        <v>122</v>
      </c>
      <c r="I11" s="13"/>
      <c r="J11" s="13"/>
      <c r="K11" s="13"/>
      <c r="L11" s="13"/>
      <c r="M11" s="13"/>
      <c r="N11" s="13"/>
      <c r="O11" s="12"/>
    </row>
    <row r="12" spans="3:15" ht="12.75">
      <c r="C12" s="13"/>
      <c r="D12" s="13"/>
      <c r="E12" s="13"/>
      <c r="F12" s="13"/>
      <c r="G12" s="13"/>
      <c r="H12" s="223"/>
      <c r="I12" s="13"/>
      <c r="J12" s="13"/>
      <c r="K12" s="13"/>
      <c r="L12" s="13"/>
      <c r="M12" s="86" t="s">
        <v>170</v>
      </c>
      <c r="N12" s="86"/>
      <c r="O12" s="86" t="s">
        <v>125</v>
      </c>
    </row>
    <row r="13" spans="3:17" ht="25.5">
      <c r="C13" s="126" t="s">
        <v>123</v>
      </c>
      <c r="D13" s="17"/>
      <c r="E13" s="126" t="s">
        <v>124</v>
      </c>
      <c r="F13" s="17"/>
      <c r="G13" s="86"/>
      <c r="H13" s="223"/>
      <c r="I13" s="86"/>
      <c r="J13" s="86"/>
      <c r="K13" s="86" t="s">
        <v>125</v>
      </c>
      <c r="L13" s="86"/>
      <c r="M13" s="86" t="s">
        <v>173</v>
      </c>
      <c r="N13" s="86"/>
      <c r="O13" s="86" t="s">
        <v>168</v>
      </c>
      <c r="Q13" s="127" t="s">
        <v>90</v>
      </c>
    </row>
    <row r="14" spans="3:17" ht="12.75">
      <c r="C14" s="13" t="s">
        <v>39</v>
      </c>
      <c r="D14" s="13"/>
      <c r="E14" s="13" t="s">
        <v>39</v>
      </c>
      <c r="F14" s="13"/>
      <c r="G14" s="13"/>
      <c r="H14" s="13" t="s">
        <v>39</v>
      </c>
      <c r="I14" s="13"/>
      <c r="J14" s="13"/>
      <c r="K14" s="13" t="s">
        <v>39</v>
      </c>
      <c r="L14" s="13"/>
      <c r="M14" s="13" t="s">
        <v>39</v>
      </c>
      <c r="N14" s="13"/>
      <c r="O14" s="13" t="s">
        <v>39</v>
      </c>
      <c r="Q14" s="127" t="s">
        <v>92</v>
      </c>
    </row>
    <row r="15" ht="12.75">
      <c r="Q15" s="128"/>
    </row>
    <row r="16" spans="1:18" s="12" customFormat="1" ht="12.75">
      <c r="A16" s="12" t="s">
        <v>126</v>
      </c>
      <c r="C16" s="31">
        <v>16833000</v>
      </c>
      <c r="D16" s="31"/>
      <c r="E16" s="31">
        <v>10324678</v>
      </c>
      <c r="F16" s="31"/>
      <c r="G16" s="31"/>
      <c r="H16" s="31">
        <f>21807551</f>
        <v>21807551</v>
      </c>
      <c r="I16" s="31"/>
      <c r="J16" s="31"/>
      <c r="K16" s="31">
        <f>SUM(C16:H16)</f>
        <v>48965229</v>
      </c>
      <c r="L16" s="31"/>
      <c r="M16" s="31">
        <v>0</v>
      </c>
      <c r="N16" s="31"/>
      <c r="O16" s="31">
        <f>ROUND(SUM(M16,K16),0)</f>
        <v>48965229</v>
      </c>
      <c r="P16" s="27"/>
      <c r="Q16" s="115">
        <f>ROUND(O16,0)</f>
        <v>48965229</v>
      </c>
      <c r="R16" s="44">
        <f>O16-Q16</f>
        <v>0</v>
      </c>
    </row>
    <row r="17" spans="1:17" ht="12.75">
      <c r="A17" s="83"/>
      <c r="C17" s="91"/>
      <c r="D17" s="91"/>
      <c r="E17" s="91"/>
      <c r="F17" s="91"/>
      <c r="G17" s="91"/>
      <c r="H17" s="91"/>
      <c r="I17" s="91"/>
      <c r="J17" s="91"/>
      <c r="K17" s="91"/>
      <c r="L17" s="91"/>
      <c r="M17" s="91"/>
      <c r="N17" s="91"/>
      <c r="O17" s="91" t="s">
        <v>15</v>
      </c>
      <c r="P17" s="3"/>
      <c r="Q17" s="128"/>
    </row>
    <row r="18" spans="1:18" ht="12.75">
      <c r="A18" s="83" t="s">
        <v>127</v>
      </c>
      <c r="C18" s="91">
        <v>0</v>
      </c>
      <c r="D18" s="91"/>
      <c r="E18" s="91">
        <v>0</v>
      </c>
      <c r="F18" s="91"/>
      <c r="G18" s="91"/>
      <c r="H18" s="91">
        <f>Income!G42</f>
        <v>7782833.231995</v>
      </c>
      <c r="I18" s="91"/>
      <c r="J18" s="91"/>
      <c r="K18" s="31">
        <f>SUM(C18:H18)</f>
        <v>7782833.231995</v>
      </c>
      <c r="L18" s="91"/>
      <c r="M18" s="91">
        <f>-Income!G36</f>
        <v>-32103.231995000006</v>
      </c>
      <c r="N18" s="91"/>
      <c r="O18" s="31">
        <f>ROUND(SUM(M18,K18),0)</f>
        <v>7750730</v>
      </c>
      <c r="P18" s="75"/>
      <c r="Q18" s="115">
        <f>ROUND(O18,0)</f>
        <v>7750730</v>
      </c>
      <c r="R18" s="44">
        <f>O18-Q18</f>
        <v>0</v>
      </c>
    </row>
    <row r="19" spans="1:17" ht="12.75">
      <c r="A19" s="83"/>
      <c r="C19" s="31"/>
      <c r="D19" s="31"/>
      <c r="E19" s="31"/>
      <c r="F19" s="31"/>
      <c r="G19" s="31"/>
      <c r="H19" s="31"/>
      <c r="I19" s="31"/>
      <c r="J19" s="31"/>
      <c r="K19" s="31"/>
      <c r="L19" s="31"/>
      <c r="M19" s="31"/>
      <c r="N19" s="31"/>
      <c r="O19" s="31"/>
      <c r="P19" s="3"/>
      <c r="Q19" s="128"/>
    </row>
    <row r="20" spans="1:17" ht="12.75">
      <c r="A20" s="83" t="s">
        <v>178</v>
      </c>
      <c r="C20" s="31">
        <v>1683300</v>
      </c>
      <c r="D20" s="31"/>
      <c r="E20" s="31">
        <f>C20*10</f>
        <v>16833000</v>
      </c>
      <c r="F20" s="31"/>
      <c r="G20" s="31"/>
      <c r="H20" s="31">
        <v>0</v>
      </c>
      <c r="I20" s="31"/>
      <c r="J20" s="31"/>
      <c r="K20" s="31">
        <f>SUM(C20:H20)</f>
        <v>18516300</v>
      </c>
      <c r="L20" s="31"/>
      <c r="M20" s="31">
        <v>0</v>
      </c>
      <c r="N20" s="31"/>
      <c r="O20" s="31">
        <f>ROUND(SUM(M20,K20),0)</f>
        <v>18516300</v>
      </c>
      <c r="P20" s="3"/>
      <c r="Q20" s="128"/>
    </row>
    <row r="21" spans="1:17" ht="12.75">
      <c r="A21" s="83"/>
      <c r="C21" s="31"/>
      <c r="D21" s="31"/>
      <c r="E21" s="31"/>
      <c r="F21" s="31"/>
      <c r="G21" s="31"/>
      <c r="H21" s="31"/>
      <c r="I21" s="31"/>
      <c r="J21" s="31"/>
      <c r="K21" s="31"/>
      <c r="L21" s="31"/>
      <c r="M21" s="31"/>
      <c r="N21" s="31"/>
      <c r="O21" s="31"/>
      <c r="P21" s="3"/>
      <c r="Q21" s="128"/>
    </row>
    <row r="22" spans="1:17" ht="12.75">
      <c r="A22" s="83" t="s">
        <v>171</v>
      </c>
      <c r="C22" s="31"/>
      <c r="D22" s="31"/>
      <c r="E22" s="31">
        <f>-166742</f>
        <v>-166742</v>
      </c>
      <c r="F22" s="31"/>
      <c r="G22" s="31"/>
      <c r="H22" s="31">
        <v>0</v>
      </c>
      <c r="I22" s="31"/>
      <c r="J22" s="31"/>
      <c r="K22" s="31">
        <f>SUM(C22:H22)</f>
        <v>-166742</v>
      </c>
      <c r="L22" s="31"/>
      <c r="M22" s="31">
        <v>0</v>
      </c>
      <c r="N22" s="31"/>
      <c r="O22" s="31">
        <f>ROUND(SUM(M22,K22),0)</f>
        <v>-166742</v>
      </c>
      <c r="P22" s="3"/>
      <c r="Q22" s="128"/>
    </row>
    <row r="23" spans="1:17" ht="12.75">
      <c r="A23" s="83"/>
      <c r="C23" s="31"/>
      <c r="D23" s="31"/>
      <c r="E23" s="31"/>
      <c r="F23" s="31"/>
      <c r="G23" s="31"/>
      <c r="H23" s="31"/>
      <c r="I23" s="31"/>
      <c r="J23" s="31"/>
      <c r="K23" s="31"/>
      <c r="L23" s="31"/>
      <c r="M23" s="31"/>
      <c r="N23" s="31"/>
      <c r="O23" s="31"/>
      <c r="P23" s="3"/>
      <c r="Q23" s="128"/>
    </row>
    <row r="24" spans="1:17" ht="12.75">
      <c r="A24" s="83" t="s">
        <v>107</v>
      </c>
      <c r="C24" s="31">
        <v>0</v>
      </c>
      <c r="D24" s="31"/>
      <c r="E24" s="31">
        <v>0</v>
      </c>
      <c r="F24" s="31"/>
      <c r="G24" s="31"/>
      <c r="H24" s="31">
        <v>-1228809</v>
      </c>
      <c r="I24" s="31"/>
      <c r="J24" s="31"/>
      <c r="K24" s="31">
        <f>SUM(C24:H24)</f>
        <v>-1228809</v>
      </c>
      <c r="L24" s="31"/>
      <c r="M24" s="31">
        <v>0</v>
      </c>
      <c r="N24" s="31"/>
      <c r="O24" s="31">
        <f>ROUND(SUM(M24,K24),0)</f>
        <v>-1228809</v>
      </c>
      <c r="P24" s="3"/>
      <c r="Q24" s="128"/>
    </row>
    <row r="25" spans="1:17" ht="12.75">
      <c r="A25" s="83"/>
      <c r="C25" s="31"/>
      <c r="D25" s="31"/>
      <c r="E25" s="31"/>
      <c r="F25" s="31"/>
      <c r="G25" s="31"/>
      <c r="H25" s="31"/>
      <c r="I25" s="31"/>
      <c r="J25" s="31"/>
      <c r="K25" s="31"/>
      <c r="L25" s="31"/>
      <c r="M25" s="31"/>
      <c r="N25" s="31"/>
      <c r="O25" s="31"/>
      <c r="P25" s="3"/>
      <c r="Q25" s="128"/>
    </row>
    <row r="26" spans="1:18" ht="13.5" thickBot="1">
      <c r="A26" s="12" t="s">
        <v>128</v>
      </c>
      <c r="C26" s="129">
        <f>ROUND(SUM(C16:C25),0)</f>
        <v>18516300</v>
      </c>
      <c r="D26" s="31"/>
      <c r="E26" s="129">
        <f>ROUND(SUM(E16:E25),0)</f>
        <v>26990936</v>
      </c>
      <c r="F26" s="31"/>
      <c r="G26" s="130"/>
      <c r="H26" s="129">
        <f>ROUND(SUM(H16:H25),0)</f>
        <v>28361575</v>
      </c>
      <c r="I26" s="31"/>
      <c r="J26" s="31"/>
      <c r="K26" s="129">
        <f>ROUND(SUM(K16:K25),0)</f>
        <v>73868811</v>
      </c>
      <c r="L26" s="31"/>
      <c r="M26" s="129">
        <f>ROUND(SUM(M16:M25),0)</f>
        <v>-32103</v>
      </c>
      <c r="N26" s="12"/>
      <c r="O26" s="129">
        <f>ROUND(SUM(O16:O25),0)</f>
        <v>73836708</v>
      </c>
      <c r="P26" s="131">
        <v>0</v>
      </c>
      <c r="Q26" s="128">
        <f>ROUND(SUM(Q15:Q19),0)</f>
        <v>56715959</v>
      </c>
      <c r="R26" s="44">
        <f>O26-Q26</f>
        <v>17120749</v>
      </c>
    </row>
    <row r="27" spans="1:17" s="12" customFormat="1" ht="15" thickTop="1">
      <c r="A27" s="83"/>
      <c r="C27" s="132">
        <v>0</v>
      </c>
      <c r="E27" s="132">
        <v>0</v>
      </c>
      <c r="H27" s="44" t="s">
        <v>15</v>
      </c>
      <c r="Q27" s="133">
        <f>Q26-O26</f>
        <v>-17120749</v>
      </c>
    </row>
    <row r="28" spans="1:17" s="12" customFormat="1" ht="14.25">
      <c r="A28" s="83"/>
      <c r="H28" s="44" t="s">
        <v>15</v>
      </c>
      <c r="Q28" s="133"/>
    </row>
    <row r="29" spans="1:17" s="12" customFormat="1" ht="14.25">
      <c r="A29" s="83"/>
      <c r="H29" s="44" t="s">
        <v>15</v>
      </c>
      <c r="Q29" s="133"/>
    </row>
    <row r="30" spans="1:18" s="12" customFormat="1" ht="12.75">
      <c r="A30" s="27" t="s">
        <v>129</v>
      </c>
      <c r="B30" s="27"/>
      <c r="C30" s="91">
        <v>16833000</v>
      </c>
      <c r="D30" s="91"/>
      <c r="E30" s="91">
        <v>10324678</v>
      </c>
      <c r="F30" s="91"/>
      <c r="G30" s="91"/>
      <c r="H30" s="91">
        <v>13852764</v>
      </c>
      <c r="I30" s="91"/>
      <c r="J30" s="91"/>
      <c r="K30" s="31">
        <f>SUM(C30:H30)</f>
        <v>41010442</v>
      </c>
      <c r="L30" s="91"/>
      <c r="M30" s="91">
        <v>0</v>
      </c>
      <c r="N30" s="91"/>
      <c r="O30" s="31">
        <f>ROUND(SUM(M30,K30),0)</f>
        <v>41010442</v>
      </c>
      <c r="P30" s="27"/>
      <c r="Q30" s="115">
        <f>ROUND(O30,0)</f>
        <v>41010442</v>
      </c>
      <c r="R30" s="44">
        <f>O30-Q30</f>
        <v>0</v>
      </c>
    </row>
    <row r="31" spans="1:17" ht="12.75">
      <c r="A31" s="90"/>
      <c r="B31" s="3"/>
      <c r="C31" s="91"/>
      <c r="D31" s="91"/>
      <c r="E31" s="91"/>
      <c r="F31" s="91"/>
      <c r="G31" s="91"/>
      <c r="H31" s="91"/>
      <c r="I31" s="91"/>
      <c r="J31" s="91"/>
      <c r="K31" s="91"/>
      <c r="L31" s="91"/>
      <c r="M31" s="91"/>
      <c r="N31" s="91"/>
      <c r="O31" s="91"/>
      <c r="P31" s="3"/>
      <c r="Q31" s="128"/>
    </row>
    <row r="32" spans="1:18" ht="12.75">
      <c r="A32" s="90" t="s">
        <v>127</v>
      </c>
      <c r="B32" s="3"/>
      <c r="C32" s="91">
        <v>0</v>
      </c>
      <c r="D32" s="91"/>
      <c r="E32" s="91">
        <v>0</v>
      </c>
      <c r="F32" s="91"/>
      <c r="G32" s="91"/>
      <c r="H32" s="91">
        <v>6606144</v>
      </c>
      <c r="I32" s="91"/>
      <c r="J32" s="91"/>
      <c r="K32" s="31">
        <f>SUM(C32:H32)</f>
        <v>6606144</v>
      </c>
      <c r="L32" s="91"/>
      <c r="M32" s="91">
        <v>0</v>
      </c>
      <c r="N32" s="91"/>
      <c r="O32" s="31">
        <f>ROUND(SUM(M32,K32),0)</f>
        <v>6606144</v>
      </c>
      <c r="P32" s="3"/>
      <c r="Q32" s="115">
        <f>ROUND(O32,0)</f>
        <v>6606144</v>
      </c>
      <c r="R32" s="44">
        <f>O32-Q32</f>
        <v>0</v>
      </c>
    </row>
    <row r="33" spans="1:18" ht="12.75">
      <c r="A33" s="90"/>
      <c r="B33" s="3"/>
      <c r="C33" s="91"/>
      <c r="D33" s="91"/>
      <c r="E33" s="91"/>
      <c r="F33" s="91"/>
      <c r="G33" s="91"/>
      <c r="H33" s="91"/>
      <c r="I33" s="91"/>
      <c r="J33" s="91"/>
      <c r="K33" s="91"/>
      <c r="L33" s="91"/>
      <c r="M33" s="91"/>
      <c r="N33" s="91"/>
      <c r="O33" s="91"/>
      <c r="P33" s="3"/>
      <c r="Q33" s="115"/>
      <c r="R33" s="44"/>
    </row>
    <row r="34" spans="1:18" ht="12.75">
      <c r="A34" s="90" t="s">
        <v>107</v>
      </c>
      <c r="B34" s="3"/>
      <c r="C34" s="91">
        <v>0</v>
      </c>
      <c r="D34" s="91"/>
      <c r="E34" s="91">
        <v>0</v>
      </c>
      <c r="F34" s="91"/>
      <c r="G34" s="91"/>
      <c r="H34" s="91">
        <v>-1211976</v>
      </c>
      <c r="I34" s="91"/>
      <c r="J34" s="91"/>
      <c r="K34" s="31">
        <f>SUM(C34:H34)</f>
        <v>-1211976</v>
      </c>
      <c r="L34" s="91"/>
      <c r="M34" s="91">
        <v>0</v>
      </c>
      <c r="N34" s="91"/>
      <c r="O34" s="31">
        <f>ROUND(SUM(M34,K34),0)</f>
        <v>-1211976</v>
      </c>
      <c r="P34" s="3"/>
      <c r="Q34" s="115"/>
      <c r="R34" s="44"/>
    </row>
    <row r="35" spans="1:18" ht="12.75">
      <c r="A35" s="90"/>
      <c r="B35" s="3"/>
      <c r="C35" s="91"/>
      <c r="D35" s="91"/>
      <c r="E35" s="91"/>
      <c r="F35" s="91"/>
      <c r="G35" s="91"/>
      <c r="H35" s="91"/>
      <c r="I35" s="91"/>
      <c r="J35" s="91"/>
      <c r="K35" s="91"/>
      <c r="L35" s="91"/>
      <c r="M35" s="91"/>
      <c r="N35" s="91"/>
      <c r="O35" s="91"/>
      <c r="P35" s="3"/>
      <c r="Q35" s="115"/>
      <c r="R35" s="44"/>
    </row>
    <row r="36" spans="1:18" ht="13.5" thickBot="1">
      <c r="A36" s="27" t="s">
        <v>130</v>
      </c>
      <c r="B36" s="3"/>
      <c r="C36" s="105">
        <f>ROUND(SUM(C30:C35),0)</f>
        <v>16833000</v>
      </c>
      <c r="D36" s="91"/>
      <c r="E36" s="105">
        <f>ROUND(SUM(E30:E35),0)</f>
        <v>10324678</v>
      </c>
      <c r="F36" s="91"/>
      <c r="G36" s="92"/>
      <c r="H36" s="105">
        <f>ROUND(SUM(H30:H35),0)</f>
        <v>19246932</v>
      </c>
      <c r="I36" s="91"/>
      <c r="J36" s="91"/>
      <c r="K36" s="105">
        <f>ROUND(SUM(K30:K35),0)</f>
        <v>46404610</v>
      </c>
      <c r="L36" s="91"/>
      <c r="M36" s="105">
        <f>ROUND(SUM(M30:M35),0)</f>
        <v>0</v>
      </c>
      <c r="N36" s="91"/>
      <c r="O36" s="105">
        <f>ROUND(SUM(O30:O35),0)</f>
        <v>46404610</v>
      </c>
      <c r="P36" s="131"/>
      <c r="Q36" s="128">
        <f>ROUND(SUM(Q29:Q35),0)</f>
        <v>47616586</v>
      </c>
      <c r="R36" s="44">
        <f>O36-Q36</f>
        <v>-1211976</v>
      </c>
    </row>
    <row r="37" spans="1:17" s="12" customFormat="1" ht="15" thickTop="1">
      <c r="A37" s="83"/>
      <c r="H37" s="44"/>
      <c r="Q37" s="133"/>
    </row>
    <row r="38" spans="1:17" s="12" customFormat="1" ht="14.25">
      <c r="A38" s="83"/>
      <c r="H38" s="44"/>
      <c r="Q38" s="133"/>
    </row>
    <row r="39" spans="1:17" ht="21.75" customHeight="1">
      <c r="A39" s="220" t="s">
        <v>131</v>
      </c>
      <c r="B39" s="221"/>
      <c r="C39" s="221"/>
      <c r="D39" s="221"/>
      <c r="E39" s="221"/>
      <c r="F39" s="221"/>
      <c r="G39" s="221"/>
      <c r="H39" s="224"/>
      <c r="I39" s="224"/>
      <c r="J39" s="224"/>
      <c r="K39" s="224"/>
      <c r="L39" s="224"/>
      <c r="M39" s="224"/>
      <c r="N39" s="224"/>
      <c r="O39" s="224"/>
      <c r="Q39" s="128"/>
    </row>
    <row r="40" spans="1:17" ht="21.75" customHeight="1">
      <c r="A40" s="221"/>
      <c r="B40" s="221"/>
      <c r="C40" s="221"/>
      <c r="D40" s="221"/>
      <c r="E40" s="221"/>
      <c r="F40" s="221"/>
      <c r="G40" s="221"/>
      <c r="H40" s="224"/>
      <c r="I40" s="224"/>
      <c r="J40" s="224"/>
      <c r="K40" s="224"/>
      <c r="L40" s="224"/>
      <c r="M40" s="224"/>
      <c r="N40" s="224"/>
      <c r="O40" s="224"/>
      <c r="Q40" s="128"/>
    </row>
    <row r="41" ht="12.75">
      <c r="A41" s="83"/>
    </row>
    <row r="42" spans="3:15" ht="12.75">
      <c r="C42" s="134"/>
      <c r="D42" s="134"/>
      <c r="E42" s="134"/>
      <c r="F42" s="134"/>
      <c r="G42" s="134"/>
      <c r="H42" s="134"/>
      <c r="I42" s="134"/>
      <c r="J42" s="134"/>
      <c r="K42" s="134"/>
      <c r="L42" s="134"/>
      <c r="M42" s="134"/>
      <c r="N42" s="134"/>
      <c r="O42" s="134"/>
    </row>
    <row r="43" spans="3:15" ht="12.75">
      <c r="C43" s="134"/>
      <c r="D43" s="134"/>
      <c r="E43" s="134"/>
      <c r="F43" s="134"/>
      <c r="G43" s="134"/>
      <c r="H43" s="135"/>
      <c r="I43" s="134"/>
      <c r="J43" s="134"/>
      <c r="K43" s="134"/>
      <c r="L43" s="134"/>
      <c r="M43" s="134"/>
      <c r="N43" s="134"/>
      <c r="O43" s="134"/>
    </row>
    <row r="44" spans="1:15" ht="12.75">
      <c r="A44" s="51"/>
      <c r="B44" s="51"/>
      <c r="C44" s="134"/>
      <c r="D44" s="134"/>
      <c r="E44" s="134"/>
      <c r="F44" s="134"/>
      <c r="G44" s="134"/>
      <c r="H44" s="134"/>
      <c r="I44" s="134"/>
      <c r="J44" s="134"/>
      <c r="K44" s="134"/>
      <c r="L44" s="134"/>
      <c r="M44" s="134"/>
      <c r="N44" s="134"/>
      <c r="O44" s="134"/>
    </row>
    <row r="45" spans="3:15" ht="12.75">
      <c r="C45" s="134"/>
      <c r="D45" s="134"/>
      <c r="E45" s="134"/>
      <c r="F45" s="134"/>
      <c r="G45" s="134"/>
      <c r="H45" s="134"/>
      <c r="I45" s="134"/>
      <c r="J45" s="134"/>
      <c r="K45" s="134"/>
      <c r="L45" s="134"/>
      <c r="M45" s="134"/>
      <c r="N45" s="134"/>
      <c r="O45" s="134"/>
    </row>
    <row r="46" spans="1:15" ht="12.75">
      <c r="A46" s="51"/>
      <c r="B46" s="51"/>
      <c r="C46" s="134"/>
      <c r="D46" s="134"/>
      <c r="E46" s="134"/>
      <c r="F46" s="134"/>
      <c r="G46" s="134"/>
      <c r="H46" s="134"/>
      <c r="I46" s="134"/>
      <c r="J46" s="134"/>
      <c r="K46" s="134"/>
      <c r="L46" s="134"/>
      <c r="M46" s="134"/>
      <c r="N46" s="134"/>
      <c r="O46" s="134"/>
    </row>
  </sheetData>
  <sheetProtection password="CC11" sheet="1" objects="1" scenarios="1" selectLockedCells="1" selectUnlockedCells="1"/>
  <mergeCells count="7">
    <mergeCell ref="A6:O6"/>
    <mergeCell ref="H11:H13"/>
    <mergeCell ref="A39:O40"/>
    <mergeCell ref="A1:O1"/>
    <mergeCell ref="A2:O2"/>
    <mergeCell ref="A3:O3"/>
    <mergeCell ref="A5:O5"/>
  </mergeCells>
  <hyperlinks>
    <hyperlink ref="H18" location="'Income Statement'!G41" display="'Income Statement'!G41"/>
  </hyperlinks>
  <printOptions/>
  <pageMargins left="0.5" right="0.25" top="1" bottom="1" header="0.5" footer="0.5"/>
  <pageSetup fitToHeight="1" fitToWidth="1" horizontalDpi="600" verticalDpi="600" orientation="portrait" paperSize="9" scale="84" r:id="rId3"/>
  <legacyDrawing r:id="rId2"/>
</worksheet>
</file>

<file path=xl/worksheets/sheet5.xml><?xml version="1.0" encoding="utf-8"?>
<worksheet xmlns="http://schemas.openxmlformats.org/spreadsheetml/2006/main" xmlns:r="http://schemas.openxmlformats.org/officeDocument/2006/relationships">
  <dimension ref="A1:K66"/>
  <sheetViews>
    <sheetView showGridLines="0" tabSelected="1" workbookViewId="0" topLeftCell="A1">
      <pane ySplit="8" topLeftCell="BM12" activePane="bottomLeft" state="frozen"/>
      <selection pane="topLeft" activeCell="A1" sqref="A1"/>
      <selection pane="bottomLeft" activeCell="C35" sqref="C35"/>
    </sheetView>
  </sheetViews>
  <sheetFormatPr defaultColWidth="9.140625" defaultRowHeight="12.75" outlineLevelRow="1" outlineLevelCol="1"/>
  <cols>
    <col min="1" max="2" width="4.00390625" style="12" customWidth="1"/>
    <col min="3" max="3" width="37.7109375" style="83" customWidth="1"/>
    <col min="4" max="4" width="9.28125" style="83" customWidth="1"/>
    <col min="5" max="5" width="17.7109375" style="83" bestFit="1" customWidth="1"/>
    <col min="6" max="6" width="3.140625" style="83" customWidth="1"/>
    <col min="7" max="7" width="17.57421875" style="83" hidden="1" customWidth="1" outlineLevel="1"/>
    <col min="8" max="8" width="2.7109375" style="83" hidden="1" customWidth="1" outlineLevel="1"/>
    <col min="9" max="9" width="18.140625" style="83" customWidth="1" collapsed="1"/>
    <col min="10" max="10" width="13.57421875" style="0" hidden="1" customWidth="1" outlineLevel="1"/>
    <col min="11" max="11" width="12.57421875" style="81" hidden="1" customWidth="1" outlineLevel="1"/>
    <col min="12" max="12" width="13.28125" style="0" customWidth="1" collapsed="1"/>
  </cols>
  <sheetData>
    <row r="1" spans="1:9" ht="15.75">
      <c r="A1" s="216" t="s">
        <v>0</v>
      </c>
      <c r="B1" s="216"/>
      <c r="C1" s="216"/>
      <c r="D1" s="216"/>
      <c r="E1" s="216"/>
      <c r="F1" s="216"/>
      <c r="G1" s="216"/>
      <c r="H1" s="216"/>
      <c r="I1" s="216"/>
    </row>
    <row r="2" spans="1:9" ht="15.75">
      <c r="A2" s="216" t="s">
        <v>1</v>
      </c>
      <c r="B2" s="216"/>
      <c r="C2" s="216"/>
      <c r="D2" s="216"/>
      <c r="E2" s="216"/>
      <c r="F2" s="216"/>
      <c r="G2" s="216"/>
      <c r="H2" s="216"/>
      <c r="I2" s="216"/>
    </row>
    <row r="3" spans="1:9" ht="15.75">
      <c r="A3" s="216" t="s">
        <v>2</v>
      </c>
      <c r="B3" s="216"/>
      <c r="C3" s="216"/>
      <c r="D3" s="216"/>
      <c r="E3" s="216"/>
      <c r="F3" s="216"/>
      <c r="G3" s="216"/>
      <c r="H3" s="216"/>
      <c r="I3" s="216"/>
    </row>
    <row r="4" spans="1:9" ht="16.5" thickBot="1">
      <c r="A4" s="82"/>
      <c r="B4" s="82"/>
      <c r="C4" s="6"/>
      <c r="D4" s="6"/>
      <c r="E4" s="6"/>
      <c r="F4" s="6"/>
      <c r="G4" s="6"/>
      <c r="H4" s="6"/>
      <c r="I4" s="6"/>
    </row>
    <row r="5" spans="1:9" ht="15.75">
      <c r="A5" s="218" t="s">
        <v>13</v>
      </c>
      <c r="B5" s="218"/>
      <c r="C5" s="218"/>
      <c r="D5" s="218"/>
      <c r="E5" s="218"/>
      <c r="F5" s="218"/>
      <c r="G5" s="218"/>
      <c r="H5" s="218"/>
      <c r="I5" s="218"/>
    </row>
    <row r="6" spans="1:9" ht="16.5" thickBot="1">
      <c r="A6" s="207" t="s">
        <v>16</v>
      </c>
      <c r="B6" s="207"/>
      <c r="C6" s="207"/>
      <c r="D6" s="207"/>
      <c r="E6" s="207"/>
      <c r="F6" s="207"/>
      <c r="G6" s="207"/>
      <c r="H6" s="207"/>
      <c r="I6" s="207"/>
    </row>
    <row r="7" ht="9.75" customHeight="1"/>
    <row r="8" spans="1:6" ht="15.75">
      <c r="A8" s="11" t="s">
        <v>82</v>
      </c>
      <c r="C8" s="12"/>
      <c r="D8" s="12"/>
      <c r="E8" s="12"/>
      <c r="F8" s="12"/>
    </row>
    <row r="9" spans="7:9" ht="12.75">
      <c r="G9" s="13"/>
      <c r="H9" s="13"/>
      <c r="I9" s="13"/>
    </row>
    <row r="10" spans="5:9" ht="12.75">
      <c r="E10" s="13" t="s">
        <v>83</v>
      </c>
      <c r="G10" s="13" t="s">
        <v>83</v>
      </c>
      <c r="H10" s="13"/>
      <c r="I10" s="13" t="s">
        <v>84</v>
      </c>
    </row>
    <row r="11" spans="5:9" ht="12.75">
      <c r="E11" s="13" t="s">
        <v>85</v>
      </c>
      <c r="G11" s="13" t="s">
        <v>86</v>
      </c>
      <c r="H11" s="13"/>
      <c r="I11" s="13" t="s">
        <v>85</v>
      </c>
    </row>
    <row r="12" spans="5:9" ht="12.75">
      <c r="E12" s="84">
        <v>39355</v>
      </c>
      <c r="G12" s="85" t="s">
        <v>87</v>
      </c>
      <c r="H12" s="13"/>
      <c r="I12" s="84">
        <v>38990</v>
      </c>
    </row>
    <row r="13" spans="5:9" ht="12.75" hidden="1" outlineLevel="1">
      <c r="E13" s="17"/>
      <c r="G13" s="17"/>
      <c r="H13" s="17"/>
      <c r="I13" s="86" t="s">
        <v>88</v>
      </c>
    </row>
    <row r="14" spans="5:9" ht="12.75" collapsed="1">
      <c r="E14" s="13" t="s">
        <v>39</v>
      </c>
      <c r="G14" s="13" t="s">
        <v>39</v>
      </c>
      <c r="H14" s="13"/>
      <c r="I14" s="13" t="s">
        <v>39</v>
      </c>
    </row>
    <row r="15" spans="5:10" ht="12.75">
      <c r="E15" s="86" t="s">
        <v>89</v>
      </c>
      <c r="I15" s="195" t="s">
        <v>89</v>
      </c>
      <c r="J15" s="87" t="s">
        <v>90</v>
      </c>
    </row>
    <row r="16" spans="1:11" s="12" customFormat="1" ht="12.75">
      <c r="A16" s="12" t="s">
        <v>91</v>
      </c>
      <c r="E16" s="44" t="s">
        <v>15</v>
      </c>
      <c r="I16" s="12" t="s">
        <v>15</v>
      </c>
      <c r="J16" s="87" t="s">
        <v>92</v>
      </c>
      <c r="K16" s="88"/>
    </row>
    <row r="17" spans="2:10" ht="12.75">
      <c r="B17" s="83" t="s">
        <v>93</v>
      </c>
      <c r="E17" s="89">
        <f>10550424-100000</f>
        <v>10450424</v>
      </c>
      <c r="F17" s="90"/>
      <c r="G17" s="91">
        <v>2552526.9824999985</v>
      </c>
      <c r="H17" s="91"/>
      <c r="I17" s="196">
        <v>8939933</v>
      </c>
      <c r="J17" s="25">
        <f>ROUND(E17,0)</f>
        <v>10450424</v>
      </c>
    </row>
    <row r="18" spans="2:10" ht="9.75" customHeight="1">
      <c r="B18" s="83"/>
      <c r="E18" s="90"/>
      <c r="F18" s="90"/>
      <c r="G18" s="91"/>
      <c r="H18" s="91"/>
      <c r="I18" s="197"/>
      <c r="J18" s="25"/>
    </row>
    <row r="19" spans="2:10" ht="12.75">
      <c r="B19" s="83" t="s">
        <v>94</v>
      </c>
      <c r="E19" s="92"/>
      <c r="F19" s="90"/>
      <c r="G19" s="92"/>
      <c r="H19" s="92"/>
      <c r="I19" s="198"/>
      <c r="J19" s="94"/>
    </row>
    <row r="20" spans="3:11" ht="12.75">
      <c r="C20" s="83" t="s">
        <v>95</v>
      </c>
      <c r="E20" s="92">
        <v>1309311</v>
      </c>
      <c r="F20" s="90"/>
      <c r="G20" s="92">
        <v>0</v>
      </c>
      <c r="H20" s="92"/>
      <c r="I20" s="196">
        <v>352169</v>
      </c>
      <c r="J20" s="25">
        <f>ROUND(E20,0)</f>
        <v>1309311</v>
      </c>
      <c r="K20" s="95">
        <f>E20-J20</f>
        <v>0</v>
      </c>
    </row>
    <row r="21" spans="3:11" ht="12.75">
      <c r="C21" s="83" t="s">
        <v>44</v>
      </c>
      <c r="E21" s="92">
        <v>13486</v>
      </c>
      <c r="F21" s="90"/>
      <c r="G21" s="92"/>
      <c r="H21" s="92"/>
      <c r="I21" s="196">
        <v>0</v>
      </c>
      <c r="J21" s="25"/>
      <c r="K21" s="95"/>
    </row>
    <row r="22" spans="3:11" ht="12.75">
      <c r="C22" s="83" t="s">
        <v>46</v>
      </c>
      <c r="E22" s="96">
        <v>-174470</v>
      </c>
      <c r="F22" s="90"/>
      <c r="G22" s="96">
        <v>0</v>
      </c>
      <c r="H22" s="92"/>
      <c r="I22" s="199">
        <v>-362415</v>
      </c>
      <c r="J22" s="97">
        <f>ROUND(E22,0)</f>
        <v>-174470</v>
      </c>
      <c r="K22" s="95">
        <f>E22-J22</f>
        <v>0</v>
      </c>
    </row>
    <row r="23" spans="2:11" ht="12.75">
      <c r="B23" s="83" t="s">
        <v>96</v>
      </c>
      <c r="E23" s="92">
        <f>ROUND(SUM(E17:E22),0)</f>
        <v>11598751</v>
      </c>
      <c r="F23" s="90"/>
      <c r="G23" s="92">
        <v>2554281.9824999985</v>
      </c>
      <c r="H23" s="92"/>
      <c r="I23" s="198">
        <f>ROUND(SUM(I17:I22),2)</f>
        <v>8929687</v>
      </c>
      <c r="J23" s="25">
        <f>ROUND(SUM(J17:J22),0)</f>
        <v>11585265</v>
      </c>
      <c r="K23" s="95">
        <f>E23-J23</f>
        <v>13486</v>
      </c>
    </row>
    <row r="24" spans="5:11" s="12" customFormat="1" ht="12.75">
      <c r="E24" s="27"/>
      <c r="F24" s="27"/>
      <c r="G24" s="98"/>
      <c r="H24" s="98"/>
      <c r="I24" s="98"/>
      <c r="J24" s="25"/>
      <c r="K24" s="88"/>
    </row>
    <row r="25" spans="2:10" ht="12.75">
      <c r="B25" s="83" t="s">
        <v>97</v>
      </c>
      <c r="E25" s="90"/>
      <c r="F25" s="90"/>
      <c r="G25" s="92"/>
      <c r="H25" s="92"/>
      <c r="I25" s="198"/>
      <c r="J25" s="25"/>
    </row>
    <row r="26" spans="2:11" ht="12.75">
      <c r="B26" s="83"/>
      <c r="C26" s="83" t="s">
        <v>98</v>
      </c>
      <c r="E26" s="92">
        <f>-1297571+100000</f>
        <v>-1197571</v>
      </c>
      <c r="F26" s="90"/>
      <c r="G26" s="92">
        <v>0</v>
      </c>
      <c r="H26" s="92"/>
      <c r="I26" s="196">
        <v>-201933</v>
      </c>
      <c r="J26" s="25">
        <f>ROUND(E26,0)</f>
        <v>-1197571</v>
      </c>
      <c r="K26" s="95">
        <f>E26-J26</f>
        <v>0</v>
      </c>
    </row>
    <row r="27" spans="2:11" ht="12.75">
      <c r="B27" s="83"/>
      <c r="C27" s="83" t="s">
        <v>99</v>
      </c>
      <c r="E27" s="96">
        <v>-2828250</v>
      </c>
      <c r="F27" s="90"/>
      <c r="G27" s="96">
        <v>0</v>
      </c>
      <c r="H27" s="92"/>
      <c r="I27" s="199">
        <v>-139889</v>
      </c>
      <c r="J27" s="97">
        <f>ROUND(E27,0)</f>
        <v>-2828250</v>
      </c>
      <c r="K27" s="95">
        <f>E27-J27</f>
        <v>0</v>
      </c>
    </row>
    <row r="28" spans="2:11" ht="12.75">
      <c r="B28" s="83" t="s">
        <v>160</v>
      </c>
      <c r="E28" s="92">
        <f>ROUND(SUM(E23:E27),0)</f>
        <v>7572930</v>
      </c>
      <c r="F28" s="90"/>
      <c r="G28" s="92">
        <v>2554281.9824999985</v>
      </c>
      <c r="H28" s="92"/>
      <c r="I28" s="198">
        <f>ROUND(SUM(I23:I27),2)</f>
        <v>8587865</v>
      </c>
      <c r="J28" s="25">
        <f>ROUND(SUM(J23:J27),0)</f>
        <v>7559444</v>
      </c>
      <c r="K28" s="95">
        <f>E28-J28</f>
        <v>13486</v>
      </c>
    </row>
    <row r="29" spans="2:10" ht="12.75">
      <c r="B29" s="83"/>
      <c r="E29" s="90"/>
      <c r="F29" s="90"/>
      <c r="G29" s="92"/>
      <c r="H29" s="92"/>
      <c r="I29" s="198"/>
      <c r="J29" s="25"/>
    </row>
    <row r="30" spans="2:11" s="12" customFormat="1" ht="12.75">
      <c r="B30" s="83" t="s">
        <v>100</v>
      </c>
      <c r="E30" s="92">
        <f>ROUND(-E22,0)</f>
        <v>174470</v>
      </c>
      <c r="F30" s="27"/>
      <c r="G30" s="92"/>
      <c r="H30" s="98"/>
      <c r="I30" s="196">
        <f>-I22</f>
        <v>362415</v>
      </c>
      <c r="J30" s="25">
        <f>ROUND(E30,0)</f>
        <v>174470</v>
      </c>
      <c r="K30" s="95">
        <f>E30-J30</f>
        <v>0</v>
      </c>
    </row>
    <row r="31" spans="2:11" s="12" customFormat="1" ht="12.75">
      <c r="B31" s="83" t="s">
        <v>101</v>
      </c>
      <c r="E31" s="92">
        <v>-2682910</v>
      </c>
      <c r="F31" s="27"/>
      <c r="G31" s="96">
        <v>0</v>
      </c>
      <c r="H31" s="98"/>
      <c r="I31" s="196">
        <v>-2768389</v>
      </c>
      <c r="J31" s="25">
        <f>ROUND(E31,0)</f>
        <v>-2682910</v>
      </c>
      <c r="K31" s="95">
        <f>E31-J31</f>
        <v>0</v>
      </c>
    </row>
    <row r="32" spans="2:11" ht="12.75">
      <c r="B32" s="12" t="s">
        <v>169</v>
      </c>
      <c r="E32" s="99">
        <f>ROUND(SUM(E28:E31),0)</f>
        <v>5064490</v>
      </c>
      <c r="F32" s="90"/>
      <c r="G32" s="99">
        <v>2552526.9824999985</v>
      </c>
      <c r="H32" s="92"/>
      <c r="I32" s="200">
        <f>ROUND(SUM(I28:I31),0)</f>
        <v>6181891</v>
      </c>
      <c r="J32" s="100">
        <f>ROUND(SUM(J28:J31),0)</f>
        <v>5051004</v>
      </c>
      <c r="K32" s="95">
        <f>E32-J32</f>
        <v>13486</v>
      </c>
    </row>
    <row r="33" spans="2:10" ht="12.75">
      <c r="B33" s="83"/>
      <c r="E33" s="90"/>
      <c r="F33" s="90"/>
      <c r="G33" s="92"/>
      <c r="H33" s="92"/>
      <c r="I33" s="198"/>
      <c r="J33" s="25"/>
    </row>
    <row r="34" spans="1:10" ht="12.75">
      <c r="A34" s="12" t="s">
        <v>102</v>
      </c>
      <c r="B34" s="83"/>
      <c r="E34" s="90"/>
      <c r="F34" s="90"/>
      <c r="G34" s="92"/>
      <c r="H34" s="92"/>
      <c r="I34" s="198"/>
      <c r="J34" s="25"/>
    </row>
    <row r="35" spans="2:11" s="12" customFormat="1" ht="12.75">
      <c r="B35" s="83" t="s">
        <v>103</v>
      </c>
      <c r="E35" s="92">
        <v>-17745232</v>
      </c>
      <c r="F35" s="27"/>
      <c r="G35" s="92">
        <v>0</v>
      </c>
      <c r="H35" s="98"/>
      <c r="I35" s="196">
        <v>-7200491</v>
      </c>
      <c r="J35" s="25">
        <f>ROUND(E35,0)</f>
        <v>-17745232</v>
      </c>
      <c r="K35" s="95">
        <f>E35-J35</f>
        <v>0</v>
      </c>
    </row>
    <row r="36" spans="2:11" s="12" customFormat="1" ht="12.75">
      <c r="B36" s="83" t="s">
        <v>104</v>
      </c>
      <c r="E36" s="92">
        <v>-2446704</v>
      </c>
      <c r="F36" s="27"/>
      <c r="G36" s="92"/>
      <c r="H36" s="98"/>
      <c r="I36" s="196">
        <v>-1522704</v>
      </c>
      <c r="J36" s="25">
        <f>ROUND(E36,0)</f>
        <v>-2446704</v>
      </c>
      <c r="K36" s="95"/>
    </row>
    <row r="37" spans="2:11" s="12" customFormat="1" ht="12.75">
      <c r="B37" s="83"/>
      <c r="E37" s="92"/>
      <c r="F37" s="27"/>
      <c r="G37" s="92"/>
      <c r="H37" s="98"/>
      <c r="I37" s="196"/>
      <c r="J37" s="25">
        <f>ROUND(E37,0)</f>
        <v>0</v>
      </c>
      <c r="K37" s="95">
        <f>E37-J37</f>
        <v>0</v>
      </c>
    </row>
    <row r="38" spans="2:11" ht="12.75">
      <c r="B38" s="12" t="s">
        <v>105</v>
      </c>
      <c r="E38" s="99">
        <f>ROUND(SUM(E35:E37),0)</f>
        <v>-20191936</v>
      </c>
      <c r="F38" s="90"/>
      <c r="G38" s="99">
        <v>0</v>
      </c>
      <c r="H38" s="92"/>
      <c r="I38" s="200">
        <f>ROUND(SUM(I35:I37),0)</f>
        <v>-8723195</v>
      </c>
      <c r="J38" s="100">
        <f>ROUND(SUM(J35:J37),0)</f>
        <v>-20191936</v>
      </c>
      <c r="K38" s="95">
        <f>E38-J38</f>
        <v>0</v>
      </c>
    </row>
    <row r="39" spans="2:10" ht="12.75">
      <c r="B39" s="83"/>
      <c r="E39" s="90"/>
      <c r="F39" s="90"/>
      <c r="G39" s="92"/>
      <c r="H39" s="92"/>
      <c r="I39" s="198"/>
      <c r="J39" s="25"/>
    </row>
    <row r="40" spans="1:11" s="12" customFormat="1" ht="12.75">
      <c r="A40" s="12" t="s">
        <v>106</v>
      </c>
      <c r="B40" s="83"/>
      <c r="E40" s="27"/>
      <c r="F40" s="27"/>
      <c r="G40" s="98"/>
      <c r="H40" s="98"/>
      <c r="I40" s="98"/>
      <c r="J40" s="25"/>
      <c r="K40" s="88"/>
    </row>
    <row r="41" spans="2:11" s="12" customFormat="1" ht="12.75">
      <c r="B41" s="83" t="s">
        <v>107</v>
      </c>
      <c r="E41" s="89">
        <v>-1228809</v>
      </c>
      <c r="F41" s="27"/>
      <c r="G41" s="98"/>
      <c r="H41" s="98"/>
      <c r="I41" s="196">
        <v>-1211976</v>
      </c>
      <c r="J41" s="25">
        <f>ROUND(E41,0)</f>
        <v>-1228809</v>
      </c>
      <c r="K41" s="95"/>
    </row>
    <row r="42" spans="2:11" s="12" customFormat="1" ht="12.75">
      <c r="B42" s="83" t="s">
        <v>178</v>
      </c>
      <c r="E42" s="89">
        <v>18349558</v>
      </c>
      <c r="F42" s="27"/>
      <c r="G42" s="98"/>
      <c r="H42" s="98"/>
      <c r="I42" s="196">
        <v>0</v>
      </c>
      <c r="J42" s="25">
        <f>ROUND(E42,0)</f>
        <v>18349558</v>
      </c>
      <c r="K42" s="95"/>
    </row>
    <row r="43" spans="2:11" s="12" customFormat="1" ht="12.75">
      <c r="B43" s="83" t="s">
        <v>108</v>
      </c>
      <c r="E43" s="89">
        <v>1734282.08</v>
      </c>
      <c r="F43" s="27"/>
      <c r="G43" s="98"/>
      <c r="H43" s="98"/>
      <c r="I43" s="196">
        <v>0</v>
      </c>
      <c r="J43" s="25">
        <f>ROUND(E43,0)</f>
        <v>1734282</v>
      </c>
      <c r="K43" s="95"/>
    </row>
    <row r="44" spans="2:11" s="12" customFormat="1" ht="12.75">
      <c r="B44" s="83" t="s">
        <v>44</v>
      </c>
      <c r="E44" s="89">
        <f>-E21</f>
        <v>-13486</v>
      </c>
      <c r="F44" s="27"/>
      <c r="G44" s="98"/>
      <c r="H44" s="98"/>
      <c r="I44" s="196">
        <v>0</v>
      </c>
      <c r="J44" s="25"/>
      <c r="K44" s="95"/>
    </row>
    <row r="45" spans="2:11" s="12" customFormat="1" ht="12.75">
      <c r="B45" s="83" t="s">
        <v>109</v>
      </c>
      <c r="E45" s="89">
        <v>11</v>
      </c>
      <c r="F45" s="27"/>
      <c r="G45" s="98"/>
      <c r="H45" s="98"/>
      <c r="I45" s="196">
        <v>0</v>
      </c>
      <c r="J45" s="25">
        <f>ROUND(E45,0)</f>
        <v>11</v>
      </c>
      <c r="K45" s="95"/>
    </row>
    <row r="46" spans="2:11" ht="12.75">
      <c r="B46" s="12" t="s">
        <v>161</v>
      </c>
      <c r="E46" s="99">
        <f>SUM(E41:E45)</f>
        <v>18841556.08</v>
      </c>
      <c r="F46" s="90"/>
      <c r="G46" s="99">
        <v>0</v>
      </c>
      <c r="H46" s="92"/>
      <c r="I46" s="200">
        <f>SUM(I41:I41)</f>
        <v>-1211976</v>
      </c>
      <c r="J46" s="99">
        <f>SUM(J41:J41)</f>
        <v>-1228809</v>
      </c>
      <c r="K46" s="95">
        <f>E46-J46</f>
        <v>20070365.08</v>
      </c>
    </row>
    <row r="47" spans="1:10" ht="12.75">
      <c r="A47" s="101"/>
      <c r="B47" s="102"/>
      <c r="D47" s="83" t="s">
        <v>15</v>
      </c>
      <c r="E47" s="103"/>
      <c r="F47" s="103"/>
      <c r="G47" s="92"/>
      <c r="H47" s="92"/>
      <c r="I47" s="198"/>
      <c r="J47" s="25"/>
    </row>
    <row r="48" spans="1:11" ht="12.75">
      <c r="A48" s="12" t="s">
        <v>162</v>
      </c>
      <c r="B48" s="83"/>
      <c r="E48" s="92">
        <f>ROUND(E46+E38+E32,0)</f>
        <v>3714110</v>
      </c>
      <c r="F48" s="90"/>
      <c r="G48" s="92">
        <v>2552526.9824999985</v>
      </c>
      <c r="H48" s="92"/>
      <c r="I48" s="198">
        <f>I46+I38+I32</f>
        <v>-3753280</v>
      </c>
      <c r="J48" s="25">
        <f>ROUND(E48,0)</f>
        <v>3714110</v>
      </c>
      <c r="K48" s="95">
        <f>E48-J48</f>
        <v>0</v>
      </c>
    </row>
    <row r="49" spans="1:10" ht="12.75">
      <c r="A49" s="101"/>
      <c r="B49" s="102"/>
      <c r="C49" s="102"/>
      <c r="D49" s="102"/>
      <c r="E49" s="103"/>
      <c r="F49" s="103"/>
      <c r="G49" s="92"/>
      <c r="H49" s="92"/>
      <c r="I49" s="198"/>
      <c r="J49" s="25"/>
    </row>
    <row r="50" spans="1:11" ht="12.75">
      <c r="A50" s="83" t="s">
        <v>110</v>
      </c>
      <c r="B50" s="102"/>
      <c r="C50" s="102"/>
      <c r="D50" s="102"/>
      <c r="E50" s="104">
        <v>11889617</v>
      </c>
      <c r="F50" s="103"/>
      <c r="G50" s="92"/>
      <c r="H50" s="92"/>
      <c r="I50" s="196">
        <v>17219547</v>
      </c>
      <c r="J50" s="25">
        <f>ROUND(E50,0)</f>
        <v>11889617</v>
      </c>
      <c r="K50" s="95">
        <f>E50-J50</f>
        <v>0</v>
      </c>
    </row>
    <row r="51" spans="2:10" ht="12.75">
      <c r="B51" s="83"/>
      <c r="C51" s="102"/>
      <c r="D51" s="102"/>
      <c r="E51" s="103"/>
      <c r="F51" s="103"/>
      <c r="G51" s="92"/>
      <c r="H51" s="92"/>
      <c r="I51" s="198"/>
      <c r="J51" s="25"/>
    </row>
    <row r="52" spans="1:11" ht="13.5" thickBot="1">
      <c r="A52" s="12" t="s">
        <v>111</v>
      </c>
      <c r="B52" s="83"/>
      <c r="C52" s="102"/>
      <c r="D52" s="102"/>
      <c r="E52" s="105">
        <f>ROUND(E48+E50,0)</f>
        <v>15603727</v>
      </c>
      <c r="F52" s="103"/>
      <c r="G52" s="105">
        <v>2552526.9824999985</v>
      </c>
      <c r="H52" s="92"/>
      <c r="I52" s="201">
        <f>ROUND(I48+I50,0)</f>
        <v>13466267</v>
      </c>
      <c r="J52" s="25">
        <f>ROUND(E52,0)</f>
        <v>15603727</v>
      </c>
      <c r="K52" s="95">
        <f>E52-J52</f>
        <v>0</v>
      </c>
    </row>
    <row r="53" spans="2:10" ht="13.5" thickTop="1">
      <c r="B53" s="83"/>
      <c r="C53" s="102"/>
      <c r="D53" s="102"/>
      <c r="E53" s="106"/>
      <c r="F53" s="103"/>
      <c r="G53" s="107"/>
      <c r="H53" s="108"/>
      <c r="I53" s="202"/>
      <c r="J53" s="25"/>
    </row>
    <row r="54" spans="1:10" ht="12.75">
      <c r="A54" s="12" t="s">
        <v>112</v>
      </c>
      <c r="B54" s="83"/>
      <c r="C54" s="102"/>
      <c r="D54" s="102"/>
      <c r="E54" s="106"/>
      <c r="F54" s="103"/>
      <c r="G54" s="107"/>
      <c r="H54" s="108"/>
      <c r="I54" s="202"/>
      <c r="J54" s="25"/>
    </row>
    <row r="55" spans="1:10" ht="12.75">
      <c r="A55" s="12" t="s">
        <v>113</v>
      </c>
      <c r="B55" s="83"/>
      <c r="C55" s="102"/>
      <c r="D55" s="102"/>
      <c r="E55" s="106"/>
      <c r="F55" s="103"/>
      <c r="G55" s="107"/>
      <c r="H55" s="108"/>
      <c r="I55" s="202"/>
      <c r="J55" s="25"/>
    </row>
    <row r="56" spans="1:11" ht="13.5" thickBot="1">
      <c r="A56" s="83" t="s">
        <v>114</v>
      </c>
      <c r="B56" s="83"/>
      <c r="C56" s="102"/>
      <c r="D56" s="102"/>
      <c r="E56" s="109">
        <v>15603727</v>
      </c>
      <c r="F56" s="103"/>
      <c r="G56" s="107"/>
      <c r="H56" s="108"/>
      <c r="I56" s="203">
        <v>13466267</v>
      </c>
      <c r="J56" s="25">
        <f>ROUND(E56,0)</f>
        <v>15603727</v>
      </c>
      <c r="K56" s="95">
        <f>E56-J56</f>
        <v>0</v>
      </c>
    </row>
    <row r="57" spans="2:10" ht="13.5" thickTop="1">
      <c r="B57" s="83"/>
      <c r="C57" s="102"/>
      <c r="D57" s="102"/>
      <c r="E57" s="110">
        <f>IF(E56-E52&lt;&gt;0,"NOT BALANCE","")</f>
      </c>
      <c r="F57" s="103"/>
      <c r="G57" s="107"/>
      <c r="H57" s="108"/>
      <c r="I57" s="110">
        <f>IF(I56-I52&lt;&gt;0,"NOT BALANCE","")</f>
      </c>
      <c r="J57" s="111">
        <f>J52-J56</f>
        <v>0</v>
      </c>
    </row>
    <row r="58" spans="1:10" ht="21.75" customHeight="1">
      <c r="A58" s="220" t="s">
        <v>115</v>
      </c>
      <c r="B58" s="220"/>
      <c r="C58" s="220"/>
      <c r="D58" s="220"/>
      <c r="E58" s="220"/>
      <c r="F58" s="220"/>
      <c r="G58" s="220"/>
      <c r="H58" s="220"/>
      <c r="I58" s="225"/>
      <c r="J58" s="25"/>
    </row>
    <row r="59" spans="1:10" ht="21.75" customHeight="1">
      <c r="A59" s="220"/>
      <c r="B59" s="220"/>
      <c r="C59" s="220"/>
      <c r="D59" s="220"/>
      <c r="E59" s="220"/>
      <c r="F59" s="220"/>
      <c r="G59" s="220"/>
      <c r="H59" s="220"/>
      <c r="I59" s="225"/>
      <c r="J59" s="25"/>
    </row>
    <row r="60" spans="1:10" ht="12.75">
      <c r="A60" s="112"/>
      <c r="B60" s="112"/>
      <c r="C60" s="112"/>
      <c r="D60" s="112"/>
      <c r="E60" s="112"/>
      <c r="F60" s="112"/>
      <c r="G60" s="112"/>
      <c r="H60" s="112"/>
      <c r="I60" s="113"/>
      <c r="J60" s="25"/>
    </row>
    <row r="61" spans="1:10" ht="12.75" hidden="1" outlineLevel="1">
      <c r="A61" s="112"/>
      <c r="B61" s="112"/>
      <c r="C61" s="112"/>
      <c r="D61" s="114" t="s">
        <v>116</v>
      </c>
      <c r="E61" s="112"/>
      <c r="F61" s="112"/>
      <c r="G61" s="112"/>
      <c r="H61" s="112"/>
      <c r="I61" s="113"/>
      <c r="J61" s="115"/>
    </row>
    <row r="62" spans="1:11" ht="12.75" hidden="1" outlineLevel="1">
      <c r="A62" s="83"/>
      <c r="B62" s="83"/>
      <c r="D62" s="116"/>
      <c r="E62" s="116"/>
      <c r="F62" s="116"/>
      <c r="G62" s="116"/>
      <c r="H62" s="116"/>
      <c r="I62" s="117" t="s">
        <v>117</v>
      </c>
      <c r="J62" s="118"/>
      <c r="K62" s="119"/>
    </row>
    <row r="63" spans="4:11" ht="12.75" hidden="1" outlineLevel="1">
      <c r="D63" s="116" t="s">
        <v>118</v>
      </c>
      <c r="E63" s="116"/>
      <c r="F63" s="116"/>
      <c r="G63" s="116"/>
      <c r="H63" s="116"/>
      <c r="I63" s="120">
        <v>17268588.470000003</v>
      </c>
      <c r="J63" s="118"/>
      <c r="K63" s="119"/>
    </row>
    <row r="64" spans="4:11" ht="12.75" hidden="1" outlineLevel="1">
      <c r="D64" s="116" t="s">
        <v>119</v>
      </c>
      <c r="E64" s="121"/>
      <c r="F64" s="116"/>
      <c r="G64" s="116"/>
      <c r="H64" s="116"/>
      <c r="I64" s="120">
        <v>17219547</v>
      </c>
      <c r="J64" s="118"/>
      <c r="K64" s="119"/>
    </row>
    <row r="65" spans="4:11" ht="12.75" hidden="1" outlineLevel="1">
      <c r="D65" s="122" t="s">
        <v>120</v>
      </c>
      <c r="E65" s="116"/>
      <c r="F65" s="116"/>
      <c r="G65" s="116"/>
      <c r="H65" s="116"/>
      <c r="I65" s="123">
        <f>I63-I64</f>
        <v>49041.47000000253</v>
      </c>
      <c r="J65" s="118"/>
      <c r="K65" s="119"/>
    </row>
    <row r="66" ht="12.75" hidden="1" outlineLevel="1">
      <c r="E66" s="29"/>
    </row>
    <row r="67" ht="12.75" hidden="1" outlineLevel="1"/>
    <row r="68" ht="12.75" collapsed="1"/>
  </sheetData>
  <sheetProtection password="CC11" sheet="1" objects="1" scenarios="1" selectLockedCells="1" selectUnlockedCells="1"/>
  <mergeCells count="6">
    <mergeCell ref="A6:I6"/>
    <mergeCell ref="A58:I59"/>
    <mergeCell ref="A1:I1"/>
    <mergeCell ref="A2:I2"/>
    <mergeCell ref="A3:I3"/>
    <mergeCell ref="A5:I5"/>
  </mergeCells>
  <printOptions/>
  <pageMargins left="0.5" right="0.25" top="0.25" bottom="0"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 Fertility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dc:creator>
  <cp:keywords/>
  <dc:description/>
  <cp:lastModifiedBy>michele</cp:lastModifiedBy>
  <cp:lastPrinted>2007-11-20T10:39:02Z</cp:lastPrinted>
  <dcterms:created xsi:type="dcterms:W3CDTF">2007-11-16T04:55:19Z</dcterms:created>
  <dcterms:modified xsi:type="dcterms:W3CDTF">2007-11-20T10:39:39Z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